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8e77156e4b1c12/Dokument/Långestrand Samfällighet/2023/Årsmöte/"/>
    </mc:Choice>
  </mc:AlternateContent>
  <xr:revisionPtr revIDLastSave="12" documentId="8_{CA4FCF40-1A06-4E9C-A884-7B6133B80F1A}" xr6:coauthVersionLast="47" xr6:coauthVersionMax="47" xr10:uidLastSave="{F2BF0200-49F6-4B4D-BA4F-A42506A25142}"/>
  <bookViews>
    <workbookView xWindow="1215" yWindow="210" windowWidth="22635" windowHeight="13605" xr2:uid="{00000000-000D-0000-FFFF-FFFF00000000}"/>
  </bookViews>
  <sheets>
    <sheet name="Budget " sheetId="23" r:id="rId1"/>
    <sheet name="Debiteringslängd neste år" sheetId="22" r:id="rId2"/>
  </sheets>
  <definedNames>
    <definedName name="_xlnm.Print_Area" localSheetId="0">'Budget '!$A$1:$M$57</definedName>
    <definedName name="_xlnm.Print_Area" localSheetId="1">'Debiteringslängd neste år'!$A$1:$U$59</definedName>
    <definedName name="_xlnm.Print_Titles" localSheetId="1">'Debiteringslängd neste år'!$5:$6</definedName>
  </definedNames>
  <calcPr calcId="181029"/>
</workbook>
</file>

<file path=xl/calcChain.xml><?xml version="1.0" encoding="utf-8"?>
<calcChain xmlns="http://schemas.openxmlformats.org/spreadsheetml/2006/main">
  <c r="E53" i="23" l="1"/>
  <c r="E55" i="23" s="1"/>
  <c r="E33" i="23"/>
  <c r="K31" i="23"/>
  <c r="N8" i="22"/>
  <c r="N7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J46" i="23" l="1"/>
  <c r="J39" i="23"/>
  <c r="J19" i="23"/>
  <c r="J11" i="23"/>
  <c r="F51" i="23" l="1"/>
  <c r="F46" i="23"/>
  <c r="I46" i="23" s="1"/>
  <c r="F39" i="23"/>
  <c r="I39" i="23" s="1"/>
  <c r="F31" i="23"/>
  <c r="I31" i="23" s="1"/>
  <c r="F24" i="23"/>
  <c r="F19" i="23"/>
  <c r="F11" i="23"/>
  <c r="I50" i="23"/>
  <c r="F33" i="23" l="1"/>
  <c r="D31" i="23"/>
  <c r="D24" i="23"/>
  <c r="G24" i="23" s="1"/>
  <c r="I24" i="23" s="1"/>
  <c r="D19" i="23"/>
  <c r="F53" i="23" l="1"/>
  <c r="E51" i="23"/>
  <c r="E39" i="23"/>
  <c r="E31" i="23"/>
  <c r="E10" i="23"/>
  <c r="E11" i="23" s="1"/>
  <c r="E19" i="23"/>
  <c r="G19" i="23" s="1"/>
  <c r="I19" i="23" s="1"/>
  <c r="K59" i="22"/>
  <c r="J24" i="23" s="1"/>
  <c r="I59" i="22"/>
  <c r="J59" i="22"/>
  <c r="C51" i="23"/>
  <c r="C53" i="23" s="1"/>
  <c r="B51" i="23"/>
  <c r="B53" i="23" s="1"/>
  <c r="C33" i="23"/>
  <c r="D51" i="23"/>
  <c r="K50" i="23"/>
  <c r="I49" i="23"/>
  <c r="H51" i="23"/>
  <c r="G51" i="23"/>
  <c r="G53" i="23" s="1"/>
  <c r="D46" i="23"/>
  <c r="D39" i="23"/>
  <c r="H53" i="23" l="1"/>
  <c r="I51" i="23"/>
  <c r="F55" i="23"/>
  <c r="L50" i="23"/>
  <c r="M50" i="23" s="1"/>
  <c r="R37" i="22"/>
  <c r="R44" i="22"/>
  <c r="R43" i="22"/>
  <c r="R42" i="22"/>
  <c r="C55" i="23"/>
  <c r="D53" i="23"/>
  <c r="K46" i="23"/>
  <c r="K49" i="23"/>
  <c r="K39" i="23"/>
  <c r="G33" i="23"/>
  <c r="G55" i="23" s="1"/>
  <c r="F59" i="22"/>
  <c r="G59" i="22"/>
  <c r="H59" i="22"/>
  <c r="J31" i="23" l="1"/>
  <c r="L31" i="23" s="1"/>
  <c r="L46" i="23"/>
  <c r="M46" i="23" s="1"/>
  <c r="J4" i="22"/>
  <c r="L49" i="23"/>
  <c r="L51" i="23" s="1"/>
  <c r="R41" i="22"/>
  <c r="R35" i="22"/>
  <c r="R31" i="22"/>
  <c r="R53" i="22"/>
  <c r="R45" i="22"/>
  <c r="R40" i="22"/>
  <c r="R34" i="22"/>
  <c r="R29" i="22"/>
  <c r="R52" i="22"/>
  <c r="R39" i="22"/>
  <c r="R33" i="22"/>
  <c r="R28" i="22"/>
  <c r="R50" i="22"/>
  <c r="R36" i="22"/>
  <c r="R32" i="22"/>
  <c r="R55" i="22"/>
  <c r="R49" i="22"/>
  <c r="L39" i="23"/>
  <c r="I4" i="22"/>
  <c r="I53" i="23"/>
  <c r="T59" i="22"/>
  <c r="D11" i="23"/>
  <c r="D33" i="23" s="1"/>
  <c r="M49" i="23" l="1"/>
  <c r="M51" i="23" s="1"/>
  <c r="M53" i="23"/>
  <c r="L53" i="23"/>
  <c r="R59" i="22"/>
  <c r="P8" i="22"/>
  <c r="P12" i="22"/>
  <c r="P16" i="22"/>
  <c r="P20" i="22"/>
  <c r="P24" i="22"/>
  <c r="P28" i="22"/>
  <c r="P32" i="22"/>
  <c r="P36" i="22"/>
  <c r="P40" i="22"/>
  <c r="P44" i="22"/>
  <c r="P48" i="22"/>
  <c r="P52" i="22"/>
  <c r="P56" i="22"/>
  <c r="P9" i="22"/>
  <c r="P13" i="22"/>
  <c r="P17" i="22"/>
  <c r="P21" i="22"/>
  <c r="P25" i="22"/>
  <c r="P29" i="22"/>
  <c r="P33" i="22"/>
  <c r="P37" i="22"/>
  <c r="P41" i="22"/>
  <c r="P45" i="22"/>
  <c r="P49" i="22"/>
  <c r="P53" i="22"/>
  <c r="P57" i="22"/>
  <c r="P10" i="22"/>
  <c r="P14" i="22"/>
  <c r="P18" i="22"/>
  <c r="P22" i="22"/>
  <c r="P26" i="22"/>
  <c r="P30" i="22"/>
  <c r="P34" i="22"/>
  <c r="P38" i="22"/>
  <c r="P42" i="22"/>
  <c r="P46" i="22"/>
  <c r="P50" i="22"/>
  <c r="P54" i="22"/>
  <c r="P58" i="22"/>
  <c r="S58" i="22" s="1"/>
  <c r="U58" i="22" s="1"/>
  <c r="P11" i="22"/>
  <c r="P15" i="22"/>
  <c r="P19" i="22"/>
  <c r="P23" i="22"/>
  <c r="P27" i="22"/>
  <c r="P31" i="22"/>
  <c r="P35" i="22"/>
  <c r="P39" i="22"/>
  <c r="P43" i="22"/>
  <c r="P47" i="22"/>
  <c r="P51" i="22"/>
  <c r="P55" i="22"/>
  <c r="P7" i="22"/>
  <c r="B33" i="23"/>
  <c r="B55" i="23" s="1"/>
  <c r="P59" i="22" l="1"/>
  <c r="I6" i="23" l="1"/>
  <c r="H11" i="23"/>
  <c r="I11" i="23" s="1"/>
  <c r="H33" i="23" l="1"/>
  <c r="H55" i="23" s="1"/>
  <c r="K6" i="23"/>
  <c r="M6" i="23"/>
  <c r="M31" i="23"/>
  <c r="D59" i="22"/>
  <c r="E59" i="22"/>
  <c r="K24" i="23" l="1"/>
  <c r="K19" i="23"/>
  <c r="E4" i="22" s="1"/>
  <c r="M7" i="22" s="1"/>
  <c r="L24" i="23" l="1"/>
  <c r="K4" i="22"/>
  <c r="M24" i="22"/>
  <c r="L19" i="23"/>
  <c r="M19" i="23" s="1"/>
  <c r="O45" i="22"/>
  <c r="Q12" i="22" l="1"/>
  <c r="Q28" i="22"/>
  <c r="M24" i="23"/>
  <c r="M31" i="22"/>
  <c r="M51" i="22"/>
  <c r="M38" i="22"/>
  <c r="M52" i="22"/>
  <c r="M13" i="22"/>
  <c r="M25" i="22"/>
  <c r="M35" i="22"/>
  <c r="M43" i="22"/>
  <c r="M19" i="22"/>
  <c r="M11" i="22"/>
  <c r="M8" i="22"/>
  <c r="M12" i="22"/>
  <c r="M14" i="22"/>
  <c r="M49" i="22"/>
  <c r="M45" i="22"/>
  <c r="M9" i="22"/>
  <c r="M37" i="22"/>
  <c r="M41" i="22"/>
  <c r="M18" i="22"/>
  <c r="M15" i="22"/>
  <c r="M30" i="22"/>
  <c r="M28" i="22"/>
  <c r="M21" i="22"/>
  <c r="M48" i="22"/>
  <c r="M27" i="22"/>
  <c r="M17" i="22"/>
  <c r="M23" i="22"/>
  <c r="M42" i="22"/>
  <c r="M53" i="22"/>
  <c r="M54" i="22"/>
  <c r="M47" i="22"/>
  <c r="M20" i="22"/>
  <c r="M26" i="22"/>
  <c r="M10" i="22"/>
  <c r="M33" i="22"/>
  <c r="M22" i="22"/>
  <c r="M32" i="22"/>
  <c r="M44" i="22"/>
  <c r="M56" i="22"/>
  <c r="M16" i="22"/>
  <c r="M34" i="22"/>
  <c r="M50" i="22"/>
  <c r="M40" i="22"/>
  <c r="M36" i="22"/>
  <c r="M39" i="22"/>
  <c r="M46" i="22"/>
  <c r="M57" i="22"/>
  <c r="M29" i="22"/>
  <c r="M55" i="22"/>
  <c r="Q49" i="22"/>
  <c r="Q33" i="22"/>
  <c r="Q25" i="22"/>
  <c r="Q11" i="22"/>
  <c r="Q35" i="22"/>
  <c r="Q29" i="22"/>
  <c r="Q55" i="22"/>
  <c r="Q32" i="22"/>
  <c r="Q57" i="22"/>
  <c r="Q42" i="22"/>
  <c r="Q30" i="22"/>
  <c r="Q53" i="22"/>
  <c r="Q18" i="22"/>
  <c r="Q50" i="22"/>
  <c r="Q17" i="22"/>
  <c r="Q9" i="22"/>
  <c r="Q21" i="22"/>
  <c r="Q36" i="22"/>
  <c r="Q20" i="22"/>
  <c r="Q8" i="22"/>
  <c r="Q45" i="22"/>
  <c r="Q19" i="22"/>
  <c r="Q37" i="22"/>
  <c r="Q41" i="22"/>
  <c r="Q27" i="22"/>
  <c r="Q14" i="22"/>
  <c r="Q43" i="22"/>
  <c r="Q54" i="22"/>
  <c r="Q39" i="22"/>
  <c r="Q44" i="22"/>
  <c r="Q51" i="22"/>
  <c r="Q16" i="22"/>
  <c r="Q56" i="22"/>
  <c r="Q52" i="22"/>
  <c r="Q13" i="22"/>
  <c r="Q46" i="22"/>
  <c r="Q10" i="22"/>
  <c r="Q7" i="22"/>
  <c r="Q40" i="22"/>
  <c r="Q22" i="22"/>
  <c r="Q38" i="22"/>
  <c r="Q34" i="22"/>
  <c r="Q31" i="22"/>
  <c r="Q26" i="22"/>
  <c r="Q24" i="22"/>
  <c r="Q47" i="22"/>
  <c r="Q15" i="22"/>
  <c r="Q48" i="22"/>
  <c r="Q23" i="22"/>
  <c r="O14" i="22"/>
  <c r="O12" i="22"/>
  <c r="O11" i="22"/>
  <c r="O37" i="22"/>
  <c r="O23" i="22"/>
  <c r="O28" i="22"/>
  <c r="O22" i="22"/>
  <c r="O42" i="22"/>
  <c r="O49" i="22"/>
  <c r="O33" i="22"/>
  <c r="O18" i="22"/>
  <c r="O56" i="22"/>
  <c r="O17" i="22"/>
  <c r="O9" i="22"/>
  <c r="O40" i="22"/>
  <c r="O31" i="22"/>
  <c r="O48" i="22"/>
  <c r="O20" i="22"/>
  <c r="O32" i="22"/>
  <c r="O38" i="22"/>
  <c r="O21" i="22"/>
  <c r="O51" i="22"/>
  <c r="O8" i="22"/>
  <c r="O29" i="22"/>
  <c r="O57" i="22"/>
  <c r="O47" i="22"/>
  <c r="O26" i="22"/>
  <c r="O55" i="22"/>
  <c r="O41" i="22"/>
  <c r="O36" i="22"/>
  <c r="O53" i="22"/>
  <c r="O39" i="22"/>
  <c r="O35" i="22"/>
  <c r="O43" i="22"/>
  <c r="O34" i="22"/>
  <c r="O15" i="22"/>
  <c r="O54" i="22"/>
  <c r="O27" i="22"/>
  <c r="O13" i="22"/>
  <c r="O50" i="22"/>
  <c r="O24" i="22"/>
  <c r="O10" i="22"/>
  <c r="O16" i="22"/>
  <c r="O7" i="22"/>
  <c r="O46" i="22"/>
  <c r="O30" i="22"/>
  <c r="O52" i="22"/>
  <c r="O19" i="22"/>
  <c r="O25" i="22"/>
  <c r="O44" i="22"/>
  <c r="N59" i="22"/>
  <c r="O59" i="22" l="1"/>
  <c r="Q59" i="22"/>
  <c r="M59" i="22"/>
  <c r="D55" i="23" l="1"/>
  <c r="K11" i="23"/>
  <c r="D4" i="22" s="1"/>
  <c r="I33" i="23" l="1"/>
  <c r="I55" i="23" s="1"/>
  <c r="L11" i="22" l="1"/>
  <c r="S11" i="22" s="1"/>
  <c r="U11" i="22" s="1"/>
  <c r="L11" i="23"/>
  <c r="L33" i="23" s="1"/>
  <c r="L50" i="22" l="1"/>
  <c r="S50" i="22" s="1"/>
  <c r="U50" i="22" s="1"/>
  <c r="L47" i="22"/>
  <c r="S47" i="22" s="1"/>
  <c r="U47" i="22" s="1"/>
  <c r="L26" i="22"/>
  <c r="S26" i="22" s="1"/>
  <c r="U26" i="22" s="1"/>
  <c r="L40" i="22"/>
  <c r="S40" i="22" s="1"/>
  <c r="U40" i="22" s="1"/>
  <c r="L39" i="22"/>
  <c r="S39" i="22" s="1"/>
  <c r="U39" i="22" s="1"/>
  <c r="L21" i="22"/>
  <c r="S21" i="22" s="1"/>
  <c r="U21" i="22" s="1"/>
  <c r="L7" i="22"/>
  <c r="S7" i="22" s="1"/>
  <c r="L16" i="22"/>
  <c r="S16" i="22" s="1"/>
  <c r="U16" i="22" s="1"/>
  <c r="L22" i="22"/>
  <c r="S22" i="22" s="1"/>
  <c r="U22" i="22" s="1"/>
  <c r="L19" i="22"/>
  <c r="S19" i="22" s="1"/>
  <c r="U19" i="22" s="1"/>
  <c r="L10" i="22"/>
  <c r="S10" i="22" s="1"/>
  <c r="U10" i="22" s="1"/>
  <c r="L25" i="22"/>
  <c r="S25" i="22" s="1"/>
  <c r="U25" i="22" s="1"/>
  <c r="L54" i="22"/>
  <c r="S54" i="22" s="1"/>
  <c r="U54" i="22" s="1"/>
  <c r="L49" i="22"/>
  <c r="S49" i="22" s="1"/>
  <c r="U49" i="22" s="1"/>
  <c r="L42" i="22"/>
  <c r="S42" i="22" s="1"/>
  <c r="U42" i="22" s="1"/>
  <c r="L45" i="22"/>
  <c r="S45" i="22" s="1"/>
  <c r="U45" i="22" s="1"/>
  <c r="L43" i="22"/>
  <c r="S43" i="22" s="1"/>
  <c r="U43" i="22" s="1"/>
  <c r="L31" i="22"/>
  <c r="S31" i="22" s="1"/>
  <c r="U31" i="22" s="1"/>
  <c r="L56" i="22"/>
  <c r="S56" i="22" s="1"/>
  <c r="U56" i="22" s="1"/>
  <c r="L35" i="22"/>
  <c r="S35" i="22" s="1"/>
  <c r="U35" i="22" s="1"/>
  <c r="L44" i="22"/>
  <c r="S44" i="22" s="1"/>
  <c r="U44" i="22" s="1"/>
  <c r="L20" i="22"/>
  <c r="S20" i="22" s="1"/>
  <c r="U20" i="22" s="1"/>
  <c r="L48" i="22"/>
  <c r="S48" i="22" s="1"/>
  <c r="U48" i="22" s="1"/>
  <c r="L14" i="22"/>
  <c r="S14" i="22" s="1"/>
  <c r="U14" i="22" s="1"/>
  <c r="L37" i="22"/>
  <c r="S37" i="22" s="1"/>
  <c r="U37" i="22" s="1"/>
  <c r="L30" i="22"/>
  <c r="S30" i="22" s="1"/>
  <c r="U30" i="22" s="1"/>
  <c r="L15" i="22"/>
  <c r="S15" i="22" s="1"/>
  <c r="U15" i="22" s="1"/>
  <c r="L12" i="22"/>
  <c r="S12" i="22" s="1"/>
  <c r="U12" i="22" s="1"/>
  <c r="L34" i="22"/>
  <c r="S34" i="22" s="1"/>
  <c r="U34" i="22" s="1"/>
  <c r="L18" i="22"/>
  <c r="S18" i="22" s="1"/>
  <c r="U18" i="22" s="1"/>
  <c r="L23" i="22"/>
  <c r="S23" i="22" s="1"/>
  <c r="U23" i="22" s="1"/>
  <c r="L51" i="22"/>
  <c r="S51" i="22" s="1"/>
  <c r="U51" i="22" s="1"/>
  <c r="L36" i="22"/>
  <c r="S36" i="22" s="1"/>
  <c r="U36" i="22" s="1"/>
  <c r="L38" i="22"/>
  <c r="S38" i="22" s="1"/>
  <c r="U38" i="22" s="1"/>
  <c r="L53" i="22"/>
  <c r="S53" i="22" s="1"/>
  <c r="U53" i="22" s="1"/>
  <c r="L24" i="22"/>
  <c r="S24" i="22" s="1"/>
  <c r="U24" i="22" s="1"/>
  <c r="L27" i="22"/>
  <c r="S27" i="22" s="1"/>
  <c r="U27" i="22" s="1"/>
  <c r="L13" i="22"/>
  <c r="S13" i="22" s="1"/>
  <c r="U13" i="22" s="1"/>
  <c r="L17" i="22"/>
  <c r="S17" i="22" s="1"/>
  <c r="U17" i="22" s="1"/>
  <c r="L8" i="22"/>
  <c r="S8" i="22" s="1"/>
  <c r="U8" i="22" s="1"/>
  <c r="L41" i="22"/>
  <c r="S41" i="22" s="1"/>
  <c r="U41" i="22" s="1"/>
  <c r="L32" i="22"/>
  <c r="S32" i="22" s="1"/>
  <c r="U32" i="22" s="1"/>
  <c r="L9" i="22"/>
  <c r="S9" i="22" s="1"/>
  <c r="U9" i="22" s="1"/>
  <c r="L33" i="22"/>
  <c r="S33" i="22" s="1"/>
  <c r="U33" i="22" s="1"/>
  <c r="L55" i="22"/>
  <c r="S55" i="22" s="1"/>
  <c r="U55" i="22" s="1"/>
  <c r="L28" i="22"/>
  <c r="S28" i="22" s="1"/>
  <c r="U28" i="22" s="1"/>
  <c r="L46" i="22"/>
  <c r="S46" i="22" s="1"/>
  <c r="U46" i="22" s="1"/>
  <c r="L52" i="22"/>
  <c r="S52" i="22" s="1"/>
  <c r="U52" i="22" s="1"/>
  <c r="L57" i="22"/>
  <c r="S57" i="22" s="1"/>
  <c r="U57" i="22" s="1"/>
  <c r="L29" i="22"/>
  <c r="S29" i="22" s="1"/>
  <c r="U29" i="22" s="1"/>
  <c r="M11" i="23"/>
  <c r="M33" i="23" s="1"/>
  <c r="M55" i="23" s="1"/>
  <c r="U7" i="22" l="1"/>
  <c r="U59" i="22" s="1"/>
  <c r="S59" i="22"/>
  <c r="L55" i="23"/>
  <c r="L59" i="22"/>
</calcChain>
</file>

<file path=xl/sharedStrings.xml><?xml version="1.0" encoding="utf-8"?>
<sst xmlns="http://schemas.openxmlformats.org/spreadsheetml/2006/main" count="246" uniqueCount="222">
  <si>
    <t>Försäkringar</t>
  </si>
  <si>
    <t>Övrigt</t>
  </si>
  <si>
    <t>Johan</t>
  </si>
  <si>
    <t>Hjerkinn</t>
  </si>
  <si>
    <t>Kolstad</t>
  </si>
  <si>
    <t>Iversen</t>
  </si>
  <si>
    <t>Elförbrukn. &amp; drift</t>
  </si>
  <si>
    <t>Ö 2:184</t>
  </si>
  <si>
    <t>Ö 2:186</t>
  </si>
  <si>
    <t>Lande</t>
  </si>
  <si>
    <t>Ö 2:188</t>
  </si>
  <si>
    <t>Jörgensen</t>
  </si>
  <si>
    <t>Ö 2:189</t>
  </si>
  <si>
    <t>Ö 2:190</t>
  </si>
  <si>
    <t>Ö 2:191</t>
  </si>
  <si>
    <t>Ö 2:192</t>
  </si>
  <si>
    <t>Hegen</t>
  </si>
  <si>
    <t>Ö 2:196</t>
  </si>
  <si>
    <t>Öhman</t>
  </si>
  <si>
    <t>Ö 2:197</t>
  </si>
  <si>
    <t>Wilhelmsen</t>
  </si>
  <si>
    <t>Ö 2:198</t>
  </si>
  <si>
    <t>Marthinsen</t>
  </si>
  <si>
    <t>Ö 2:199</t>
  </si>
  <si>
    <t>Ö 2:200</t>
  </si>
  <si>
    <t>Ö 2:201</t>
  </si>
  <si>
    <t>Ö 2:204</t>
  </si>
  <si>
    <t>Tom</t>
  </si>
  <si>
    <t>Ö 2:215</t>
  </si>
  <si>
    <t>Ö 2:216</t>
  </si>
  <si>
    <t>Ö 2:217</t>
  </si>
  <si>
    <t>Norberg</t>
  </si>
  <si>
    <t>Summa andelar och avgifter</t>
  </si>
  <si>
    <t>Andel i</t>
  </si>
  <si>
    <t>Finn</t>
  </si>
  <si>
    <t>Horn</t>
  </si>
  <si>
    <t>Mette</t>
  </si>
  <si>
    <t>Delavgifter kr</t>
  </si>
  <si>
    <t>Förnamn</t>
  </si>
  <si>
    <t xml:space="preserve">Efternamn </t>
  </si>
  <si>
    <t>Adm</t>
  </si>
  <si>
    <t>Sjöb</t>
  </si>
  <si>
    <t>Väg</t>
  </si>
  <si>
    <t>Bryggor</t>
  </si>
  <si>
    <t>Sjöbod</t>
  </si>
  <si>
    <t>Vägar</t>
  </si>
  <si>
    <t xml:space="preserve"> Ö 2:86</t>
  </si>
  <si>
    <t>Inger</t>
  </si>
  <si>
    <t xml:space="preserve"> Ö 2:87</t>
  </si>
  <si>
    <t xml:space="preserve">Ö 2:103 </t>
  </si>
  <si>
    <t xml:space="preserve">Ö 2:104 </t>
  </si>
  <si>
    <t xml:space="preserve">Ö 2:171 </t>
  </si>
  <si>
    <t xml:space="preserve">Ö 2:172 </t>
  </si>
  <si>
    <t xml:space="preserve">Ö 2:202 </t>
  </si>
  <si>
    <t xml:space="preserve">Ö 2:203 </t>
  </si>
  <si>
    <t xml:space="preserve">Ö 2:214 </t>
  </si>
  <si>
    <t xml:space="preserve">Verksamhet </t>
  </si>
  <si>
    <t>Antal 
andelar</t>
  </si>
  <si>
    <t>Kr per 
andel</t>
  </si>
  <si>
    <t>Administration</t>
  </si>
  <si>
    <t>Vattenanläggning</t>
  </si>
  <si>
    <t>Vägar &amp; allm.plats</t>
  </si>
  <si>
    <t>Drift &amp; underhåll</t>
  </si>
  <si>
    <t>Sjöbodar</t>
  </si>
  <si>
    <t>Elkostnader</t>
  </si>
  <si>
    <t>Försäkring</t>
  </si>
  <si>
    <t>Underhåll</t>
  </si>
  <si>
    <t>Knut</t>
  </si>
  <si>
    <t>Dag</t>
  </si>
  <si>
    <t>Birgitta M</t>
  </si>
  <si>
    <t>Ringerike</t>
  </si>
  <si>
    <t>Leif</t>
  </si>
  <si>
    <t>Stenberg</t>
  </si>
  <si>
    <t>Gulestö</t>
  </si>
  <si>
    <t>Bengt</t>
  </si>
  <si>
    <t>Ingar</t>
  </si>
  <si>
    <t>Birger</t>
  </si>
  <si>
    <t>Svensson</t>
  </si>
  <si>
    <t>Egil</t>
  </si>
  <si>
    <t>Henrik (Tom)</t>
  </si>
  <si>
    <t xml:space="preserve">af Sillén </t>
  </si>
  <si>
    <t>af Sillén</t>
  </si>
  <si>
    <t>Ö 2:101</t>
  </si>
  <si>
    <t xml:space="preserve">Ö 2:102 </t>
  </si>
  <si>
    <t>Belopp per andel kr</t>
  </si>
  <si>
    <t>Jakobsen</t>
  </si>
  <si>
    <t xml:space="preserve"> Ö 2:88</t>
  </si>
  <si>
    <t>Sven</t>
  </si>
  <si>
    <t>Lekander</t>
  </si>
  <si>
    <t xml:space="preserve"> Ö 2:89</t>
  </si>
  <si>
    <t>Olausson</t>
  </si>
  <si>
    <t xml:space="preserve"> Ö 2:90</t>
  </si>
  <si>
    <t xml:space="preserve"> Ö 2:91</t>
  </si>
  <si>
    <t>Maiset</t>
  </si>
  <si>
    <t xml:space="preserve"> Ö 2:92</t>
  </si>
  <si>
    <t>Sörensen</t>
  </si>
  <si>
    <t xml:space="preserve"> Ö 2:93</t>
  </si>
  <si>
    <t xml:space="preserve"> Ö 2:94</t>
  </si>
  <si>
    <t xml:space="preserve"> Ö 2:95</t>
  </si>
  <si>
    <t xml:space="preserve"> Ö 2:96</t>
  </si>
  <si>
    <t>Jannestad</t>
  </si>
  <si>
    <t xml:space="preserve"> Ö 2:97</t>
  </si>
  <si>
    <t xml:space="preserve"> Ö 2:98</t>
  </si>
  <si>
    <t>Hilde Kristin</t>
  </si>
  <si>
    <t>Selmer</t>
  </si>
  <si>
    <t xml:space="preserve"> Ö 2:99</t>
  </si>
  <si>
    <t>Sandberg</t>
  </si>
  <si>
    <t>Erik</t>
  </si>
  <si>
    <t>Josefsson</t>
  </si>
  <si>
    <t>Ö 2:105</t>
  </si>
  <si>
    <t>Rosengren</t>
  </si>
  <si>
    <t>Ö 2:106</t>
  </si>
  <si>
    <t>Ö 2:169</t>
  </si>
  <si>
    <t>Hoff</t>
  </si>
  <si>
    <t>Ö 2:170</t>
  </si>
  <si>
    <t>Barbro</t>
  </si>
  <si>
    <t>Ö 2:173</t>
  </si>
  <si>
    <t>Ö 2:174</t>
  </si>
  <si>
    <t>Eriksen</t>
  </si>
  <si>
    <t>Ö 2:175</t>
  </si>
  <si>
    <t>Ö 2:176</t>
  </si>
  <si>
    <t>Ammerud</t>
  </si>
  <si>
    <t>Ö 2:177</t>
  </si>
  <si>
    <t>Kvalsvik</t>
  </si>
  <si>
    <t>Ö 2:178</t>
  </si>
  <si>
    <t>Bjørn G.</t>
  </si>
  <si>
    <t>Moberg</t>
  </si>
  <si>
    <t xml:space="preserve">Svein </t>
  </si>
  <si>
    <t xml:space="preserve">Osa </t>
  </si>
  <si>
    <t>Service &amp; underhåll</t>
  </si>
  <si>
    <t>BDT</t>
  </si>
  <si>
    <t>Mtrl</t>
  </si>
  <si>
    <t>Totalt</t>
  </si>
  <si>
    <t xml:space="preserve">Rune </t>
  </si>
  <si>
    <t>Lundsten</t>
  </si>
  <si>
    <t>Rand</t>
  </si>
  <si>
    <t>Peter</t>
  </si>
  <si>
    <t>Anders</t>
  </si>
  <si>
    <t>Fondsavsättning</t>
  </si>
  <si>
    <t>Summa sjöbodar</t>
  </si>
  <si>
    <t>SUMMA EGEN VERKSAMHET</t>
  </si>
  <si>
    <t>BDT-avgifter</t>
  </si>
  <si>
    <t>Summa BDT-avgifter</t>
  </si>
  <si>
    <t>SUMMA FÖRMEDLING</t>
  </si>
  <si>
    <t>SUMMA TOTALT</t>
  </si>
  <si>
    <t>Räntor</t>
  </si>
  <si>
    <t>Vatten</t>
  </si>
  <si>
    <t>Porto, licens, kontorsmtrl</t>
  </si>
  <si>
    <t>Bokföringstjänst</t>
  </si>
  <si>
    <t>Tillsyn (lön + PO)</t>
  </si>
  <si>
    <t>Summa</t>
  </si>
  <si>
    <t>avg</t>
  </si>
  <si>
    <t>Fast.</t>
  </si>
  <si>
    <t>att bet</t>
  </si>
  <si>
    <t>Fastighet o ägare</t>
  </si>
  <si>
    <t xml:space="preserve">Övrigt, </t>
  </si>
  <si>
    <t>BDT avgifter, Snäckvägen</t>
  </si>
  <si>
    <t>BDT avgifter, Musselvägen</t>
  </si>
  <si>
    <t>Inngående balans</t>
  </si>
  <si>
    <t>Avskrivningar</t>
  </si>
  <si>
    <t>Adm+f</t>
  </si>
  <si>
    <t>Til debiteringslängd</t>
  </si>
  <si>
    <t>Beslutning</t>
  </si>
  <si>
    <t>Sum</t>
  </si>
  <si>
    <t>Sissel</t>
  </si>
  <si>
    <t>Ekelund</t>
  </si>
  <si>
    <t xml:space="preserve">Svein-Erik </t>
  </si>
  <si>
    <t>Vik</t>
  </si>
  <si>
    <t>Qvarfordt</t>
  </si>
  <si>
    <t>Budget          + Utg B
 - Ing B</t>
  </si>
  <si>
    <t>Reparation &amp; underhåll</t>
  </si>
  <si>
    <t>Vann</t>
  </si>
  <si>
    <t>Förfallodag:</t>
  </si>
  <si>
    <t># (15-50)</t>
  </si>
  <si>
    <t># (1-6)</t>
  </si>
  <si>
    <t># (7-14)</t>
  </si>
  <si>
    <t>Båtplass nr.</t>
  </si>
  <si>
    <t>2020-21</t>
  </si>
  <si>
    <t>2022-23</t>
  </si>
  <si>
    <t>Årets int o resultat</t>
  </si>
  <si>
    <t>Årets inntekt</t>
  </si>
  <si>
    <t>Årets resultat</t>
  </si>
  <si>
    <t>Vägbom</t>
  </si>
  <si>
    <t>Service o underhall</t>
  </si>
  <si>
    <t>Administrasjon</t>
  </si>
  <si>
    <t>Summa vägbom</t>
  </si>
  <si>
    <t>Budgeterad UB</t>
  </si>
  <si>
    <t>2021-22</t>
  </si>
  <si>
    <t>Bom</t>
  </si>
  <si>
    <t>Christoffer</t>
  </si>
  <si>
    <t>Otto</t>
  </si>
  <si>
    <t>Östermark</t>
  </si>
  <si>
    <t>Lundin</t>
  </si>
  <si>
    <t>Trine</t>
  </si>
  <si>
    <t>Lena</t>
  </si>
  <si>
    <t>Kindström</t>
  </si>
  <si>
    <t>Håkan</t>
  </si>
  <si>
    <t>Henning</t>
  </si>
  <si>
    <t>Claes</t>
  </si>
  <si>
    <t>Halvardsson</t>
  </si>
  <si>
    <t>Externa fastigheter</t>
  </si>
  <si>
    <t>2023-24</t>
  </si>
  <si>
    <t>Budget</t>
  </si>
  <si>
    <t>Utfall</t>
  </si>
  <si>
    <t>Ö 2:100</t>
  </si>
  <si>
    <t>Monica</t>
  </si>
  <si>
    <t>Kjell</t>
  </si>
  <si>
    <t>Rüdlang</t>
  </si>
  <si>
    <t>Gro</t>
  </si>
  <si>
    <t>Marianne o Ulf</t>
  </si>
  <si>
    <t xml:space="preserve">Marianne </t>
  </si>
  <si>
    <t>Aamodt</t>
  </si>
  <si>
    <t xml:space="preserve">Vikgren </t>
  </si>
  <si>
    <t>Jenny</t>
  </si>
  <si>
    <t>Morgan</t>
  </si>
  <si>
    <t xml:space="preserve"> 15 september 2023</t>
  </si>
  <si>
    <t>Forslag till debiteringslängd för budgetåret 2023-24  (NB! Enkelte poster blir tillagt moms)</t>
  </si>
  <si>
    <t>Kai</t>
  </si>
  <si>
    <t>Siffror i kursiv stil är exkl. Moms</t>
  </si>
  <si>
    <t>Martin</t>
  </si>
  <si>
    <t xml:space="preserve">Kjell </t>
  </si>
  <si>
    <t>Alternativt Förslag till Budget  2023-24 (Avbetalning)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</si>
</sst>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Helv"/>
    </font>
    <font>
      <b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43" fontId="19" fillId="0" borderId="0" applyFont="0" applyFill="0" applyBorder="0" applyAlignment="0" applyProtection="0"/>
  </cellStyleXfs>
  <cellXfs count="19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3" fontId="0" fillId="0" borderId="9" xfId="0" applyNumberFormat="1" applyBorder="1"/>
    <xf numFmtId="0" fontId="1" fillId="0" borderId="0" xfId="0" applyFont="1"/>
    <xf numFmtId="0" fontId="1" fillId="0" borderId="10" xfId="0" applyFont="1" applyBorder="1" applyAlignment="1">
      <alignment horizontal="center"/>
    </xf>
    <xf numFmtId="0" fontId="0" fillId="0" borderId="9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5" fillId="0" borderId="0" xfId="0" applyNumberFormat="1" applyFont="1"/>
    <xf numFmtId="1" fontId="0" fillId="0" borderId="9" xfId="0" applyNumberFormat="1" applyBorder="1"/>
    <xf numFmtId="3" fontId="1" fillId="0" borderId="11" xfId="0" applyNumberFormat="1" applyFont="1" applyBorder="1"/>
    <xf numFmtId="49" fontId="3" fillId="0" borderId="12" xfId="0" applyNumberFormat="1" applyFont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" fontId="4" fillId="0" borderId="0" xfId="0" applyNumberFormat="1" applyFont="1" applyAlignment="1">
      <alignment horizontal="right"/>
    </xf>
    <xf numFmtId="3" fontId="10" fillId="0" borderId="16" xfId="0" applyNumberFormat="1" applyFont="1" applyBorder="1" applyAlignment="1">
      <alignment horizontal="center"/>
    </xf>
    <xf numFmtId="0" fontId="8" fillId="0" borderId="21" xfId="0" applyFont="1" applyBorder="1"/>
    <xf numFmtId="0" fontId="2" fillId="0" borderId="21" xfId="0" applyFont="1" applyBorder="1"/>
    <xf numFmtId="0" fontId="0" fillId="0" borderId="21" xfId="0" applyBorder="1"/>
    <xf numFmtId="0" fontId="1" fillId="0" borderId="21" xfId="0" applyFont="1" applyBorder="1"/>
    <xf numFmtId="0" fontId="2" fillId="0" borderId="21" xfId="0" applyFont="1" applyBorder="1" applyAlignment="1">
      <alignment vertical="justify"/>
    </xf>
    <xf numFmtId="0" fontId="5" fillId="2" borderId="17" xfId="0" applyFont="1" applyFill="1" applyBorder="1" applyAlignment="1">
      <alignment vertical="top"/>
    </xf>
    <xf numFmtId="0" fontId="7" fillId="2" borderId="22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8" fillId="0" borderId="17" xfId="0" applyFont="1" applyBorder="1"/>
    <xf numFmtId="3" fontId="1" fillId="0" borderId="11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0" xfId="0" applyFont="1" applyProtection="1">
      <protection locked="0"/>
    </xf>
    <xf numFmtId="1" fontId="2" fillId="0" borderId="0" xfId="0" applyNumberFormat="1" applyFont="1"/>
    <xf numFmtId="0" fontId="7" fillId="3" borderId="17" xfId="0" applyFont="1" applyFill="1" applyBorder="1" applyAlignment="1">
      <alignment vertical="top" wrapText="1"/>
    </xf>
    <xf numFmtId="3" fontId="0" fillId="3" borderId="21" xfId="0" applyNumberFormat="1" applyFill="1" applyBorder="1"/>
    <xf numFmtId="0" fontId="0" fillId="3" borderId="21" xfId="0" applyFill="1" applyBorder="1"/>
    <xf numFmtId="0" fontId="8" fillId="0" borderId="22" xfId="0" applyFont="1" applyBorder="1"/>
    <xf numFmtId="0" fontId="8" fillId="3" borderId="17" xfId="0" applyFont="1" applyFill="1" applyBorder="1"/>
    <xf numFmtId="3" fontId="15" fillId="0" borderId="0" xfId="0" applyNumberFormat="1" applyFont="1"/>
    <xf numFmtId="0" fontId="8" fillId="0" borderId="13" xfId="0" applyFont="1" applyBorder="1" applyAlignment="1">
      <alignment horizontal="center"/>
    </xf>
    <xf numFmtId="0" fontId="2" fillId="4" borderId="19" xfId="0" applyFont="1" applyFill="1" applyBorder="1"/>
    <xf numFmtId="0" fontId="0" fillId="4" borderId="22" xfId="0" applyFill="1" applyBorder="1"/>
    <xf numFmtId="0" fontId="0" fillId="4" borderId="25" xfId="0" applyFill="1" applyBorder="1"/>
    <xf numFmtId="0" fontId="8" fillId="0" borderId="26" xfId="0" applyFont="1" applyBorder="1" applyAlignment="1">
      <alignment horizontal="center"/>
    </xf>
    <xf numFmtId="0" fontId="16" fillId="0" borderId="0" xfId="0" applyFont="1"/>
    <xf numFmtId="0" fontId="2" fillId="0" borderId="0" xfId="0" applyFont="1"/>
    <xf numFmtId="0" fontId="7" fillId="2" borderId="25" xfId="0" applyFont="1" applyFill="1" applyBorder="1" applyAlignment="1">
      <alignment vertical="top" wrapText="1"/>
    </xf>
    <xf numFmtId="0" fontId="0" fillId="0" borderId="29" xfId="0" applyBorder="1"/>
    <xf numFmtId="1" fontId="17" fillId="0" borderId="0" xfId="0" applyNumberFormat="1" applyFont="1" applyAlignment="1">
      <alignment horizontal="left"/>
    </xf>
    <xf numFmtId="0" fontId="18" fillId="0" borderId="0" xfId="0" applyFont="1"/>
    <xf numFmtId="1" fontId="0" fillId="0" borderId="0" xfId="0" applyNumberFormat="1" applyAlignment="1">
      <alignment horizontal="right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4" xfId="0" applyFont="1" applyBorder="1"/>
    <xf numFmtId="1" fontId="0" fillId="0" borderId="4" xfId="0" applyNumberForma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3" fontId="0" fillId="0" borderId="29" xfId="0" applyNumberFormat="1" applyBorder="1" applyAlignment="1">
      <alignment horizontal="right"/>
    </xf>
    <xf numFmtId="164" fontId="1" fillId="0" borderId="25" xfId="3" applyNumberFormat="1" applyFont="1" applyFill="1" applyBorder="1"/>
    <xf numFmtId="164" fontId="1" fillId="0" borderId="25" xfId="3" applyNumberFormat="1" applyFont="1" applyBorder="1"/>
    <xf numFmtId="0" fontId="1" fillId="0" borderId="29" xfId="0" applyFont="1" applyBorder="1"/>
    <xf numFmtId="3" fontId="1" fillId="0" borderId="19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0" xfId="0" applyNumberFormat="1" applyFont="1"/>
    <xf numFmtId="3" fontId="1" fillId="0" borderId="16" xfId="0" applyNumberFormat="1" applyFont="1" applyBorder="1"/>
    <xf numFmtId="0" fontId="7" fillId="3" borderId="17" xfId="0" applyFont="1" applyFill="1" applyBorder="1" applyAlignment="1">
      <alignment horizontal="center" vertical="top" wrapText="1"/>
    </xf>
    <xf numFmtId="164" fontId="8" fillId="0" borderId="25" xfId="3" applyNumberFormat="1" applyFont="1" applyFill="1" applyBorder="1" applyAlignment="1">
      <alignment horizontal="right"/>
    </xf>
    <xf numFmtId="164" fontId="8" fillId="3" borderId="17" xfId="3" applyNumberFormat="1" applyFont="1" applyFill="1" applyBorder="1" applyAlignment="1"/>
    <xf numFmtId="164" fontId="8" fillId="3" borderId="17" xfId="3" applyNumberFormat="1" applyFont="1" applyFill="1" applyBorder="1"/>
    <xf numFmtId="164" fontId="8" fillId="0" borderId="22" xfId="3" applyNumberFormat="1" applyFont="1" applyBorder="1"/>
    <xf numFmtId="164" fontId="8" fillId="0" borderId="17" xfId="3" applyNumberFormat="1" applyFont="1" applyBorder="1"/>
    <xf numFmtId="164" fontId="0" fillId="0" borderId="29" xfId="3" applyNumberFormat="1" applyFont="1" applyFill="1" applyBorder="1" applyAlignment="1">
      <alignment horizontal="right"/>
    </xf>
    <xf numFmtId="164" fontId="0" fillId="3" borderId="21" xfId="3" applyNumberFormat="1" applyFont="1" applyFill="1" applyBorder="1" applyAlignment="1"/>
    <xf numFmtId="164" fontId="0" fillId="0" borderId="29" xfId="3" applyNumberFormat="1" applyFont="1" applyFill="1" applyBorder="1"/>
    <xf numFmtId="164" fontId="0" fillId="0" borderId="0" xfId="3" applyNumberFormat="1" applyFont="1" applyFill="1"/>
    <xf numFmtId="164" fontId="0" fillId="3" borderId="21" xfId="3" applyNumberFormat="1" applyFont="1" applyFill="1" applyBorder="1"/>
    <xf numFmtId="164" fontId="0" fillId="0" borderId="0" xfId="3" applyNumberFormat="1" applyFont="1"/>
    <xf numFmtId="164" fontId="0" fillId="0" borderId="21" xfId="3" applyNumberFormat="1" applyFont="1" applyBorder="1"/>
    <xf numFmtId="164" fontId="0" fillId="0" borderId="21" xfId="3" applyNumberFormat="1" applyFont="1" applyFill="1" applyBorder="1"/>
    <xf numFmtId="164" fontId="0" fillId="0" borderId="29" xfId="3" applyNumberFormat="1" applyFont="1" applyBorder="1"/>
    <xf numFmtId="164" fontId="8" fillId="0" borderId="17" xfId="3" applyNumberFormat="1" applyFont="1" applyFill="1" applyBorder="1"/>
    <xf numFmtId="164" fontId="8" fillId="0" borderId="22" xfId="3" applyNumberFormat="1" applyFont="1" applyFill="1" applyBorder="1"/>
    <xf numFmtId="164" fontId="8" fillId="0" borderId="25" xfId="3" applyNumberFormat="1" applyFont="1" applyBorder="1"/>
    <xf numFmtId="164" fontId="8" fillId="0" borderId="29" xfId="3" applyNumberFormat="1" applyFont="1" applyFill="1" applyBorder="1" applyAlignment="1">
      <alignment horizontal="right"/>
    </xf>
    <xf numFmtId="164" fontId="0" fillId="3" borderId="29" xfId="3" applyNumberFormat="1" applyFont="1" applyFill="1" applyBorder="1" applyAlignment="1"/>
    <xf numFmtId="164" fontId="14" fillId="3" borderId="29" xfId="3" applyNumberFormat="1" applyFont="1" applyFill="1" applyBorder="1" applyAlignment="1"/>
    <xf numFmtId="164" fontId="8" fillId="3" borderId="25" xfId="3" applyNumberFormat="1" applyFont="1" applyFill="1" applyBorder="1" applyAlignment="1"/>
    <xf numFmtId="164" fontId="1" fillId="0" borderId="29" xfId="3" applyNumberFormat="1" applyFont="1" applyFill="1" applyBorder="1" applyAlignment="1">
      <alignment horizontal="right"/>
    </xf>
    <xf numFmtId="164" fontId="16" fillId="0" borderId="29" xfId="3" applyNumberFormat="1" applyFont="1" applyFill="1" applyBorder="1" applyAlignment="1">
      <alignment horizontal="left"/>
    </xf>
    <xf numFmtId="164" fontId="8" fillId="3" borderId="29" xfId="3" applyNumberFormat="1" applyFont="1" applyFill="1" applyBorder="1" applyAlignment="1"/>
    <xf numFmtId="164" fontId="8" fillId="0" borderId="21" xfId="3" applyNumberFormat="1" applyFont="1" applyFill="1" applyBorder="1"/>
    <xf numFmtId="164" fontId="8" fillId="0" borderId="29" xfId="3" applyNumberFormat="1" applyFont="1" applyFill="1" applyBorder="1"/>
    <xf numFmtId="164" fontId="8" fillId="0" borderId="29" xfId="3" applyNumberFormat="1" applyFont="1" applyBorder="1"/>
    <xf numFmtId="164" fontId="1" fillId="3" borderId="25" xfId="3" applyNumberFormat="1" applyFont="1" applyFill="1" applyBorder="1" applyAlignment="1">
      <alignment horizontal="right"/>
    </xf>
    <xf numFmtId="164" fontId="8" fillId="3" borderId="25" xfId="3" applyNumberFormat="1" applyFont="1" applyFill="1" applyBorder="1"/>
    <xf numFmtId="0" fontId="1" fillId="0" borderId="22" xfId="0" applyFont="1" applyBorder="1"/>
    <xf numFmtId="1" fontId="1" fillId="0" borderId="25" xfId="0" applyNumberFormat="1" applyFont="1" applyBorder="1"/>
    <xf numFmtId="3" fontId="1" fillId="0" borderId="21" xfId="0" applyNumberFormat="1" applyFont="1" applyBorder="1"/>
    <xf numFmtId="3" fontId="1" fillId="3" borderId="21" xfId="0" applyNumberFormat="1" applyFont="1" applyFill="1" applyBorder="1"/>
    <xf numFmtId="3" fontId="2" fillId="3" borderId="21" xfId="0" applyNumberFormat="1" applyFont="1" applyFill="1" applyBorder="1"/>
    <xf numFmtId="0" fontId="1" fillId="3" borderId="21" xfId="0" applyFont="1" applyFill="1" applyBorder="1"/>
    <xf numFmtId="0" fontId="1" fillId="0" borderId="16" xfId="0" applyFont="1" applyBorder="1"/>
    <xf numFmtId="3" fontId="1" fillId="3" borderId="16" xfId="0" applyNumberFormat="1" applyFont="1" applyFill="1" applyBorder="1"/>
    <xf numFmtId="0" fontId="1" fillId="3" borderId="23" xfId="0" applyFont="1" applyFill="1" applyBorder="1"/>
    <xf numFmtId="0" fontId="0" fillId="0" borderId="22" xfId="0" applyBorder="1"/>
    <xf numFmtId="3" fontId="1" fillId="0" borderId="36" xfId="0" applyNumberFormat="1" applyFont="1" applyBorder="1"/>
    <xf numFmtId="0" fontId="0" fillId="0" borderId="37" xfId="0" applyBorder="1"/>
    <xf numFmtId="0" fontId="0" fillId="0" borderId="36" xfId="0" applyBorder="1"/>
    <xf numFmtId="0" fontId="0" fillId="0" borderId="16" xfId="0" applyBorder="1"/>
    <xf numFmtId="3" fontId="0" fillId="0" borderId="36" xfId="0" applyNumberFormat="1" applyBorder="1" applyAlignment="1">
      <alignment horizontal="right"/>
    </xf>
    <xf numFmtId="0" fontId="1" fillId="0" borderId="36" xfId="0" applyFont="1" applyBorder="1"/>
    <xf numFmtId="3" fontId="1" fillId="3" borderId="17" xfId="0" applyNumberFormat="1" applyFont="1" applyFill="1" applyBorder="1"/>
    <xf numFmtId="3" fontId="2" fillId="0" borderId="0" xfId="0" applyNumberFormat="1" applyFont="1"/>
    <xf numFmtId="0" fontId="1" fillId="0" borderId="17" xfId="0" applyFont="1" applyBorder="1"/>
    <xf numFmtId="3" fontId="2" fillId="0" borderId="22" xfId="0" applyNumberFormat="1" applyFont="1" applyBorder="1"/>
    <xf numFmtId="3" fontId="1" fillId="3" borderId="24" xfId="0" applyNumberFormat="1" applyFont="1" applyFill="1" applyBorder="1"/>
    <xf numFmtId="3" fontId="1" fillId="0" borderId="20" xfId="0" applyNumberFormat="1" applyFont="1" applyBorder="1"/>
    <xf numFmtId="3" fontId="1" fillId="0" borderId="39" xfId="0" applyNumberFormat="1" applyFont="1" applyBorder="1"/>
    <xf numFmtId="3" fontId="1" fillId="0" borderId="30" xfId="0" applyNumberFormat="1" applyFont="1" applyBorder="1"/>
    <xf numFmtId="3" fontId="1" fillId="0" borderId="24" xfId="0" applyNumberFormat="1" applyFont="1" applyBorder="1"/>
    <xf numFmtId="1" fontId="0" fillId="0" borderId="21" xfId="0" applyNumberFormat="1" applyBorder="1"/>
    <xf numFmtId="164" fontId="1" fillId="0" borderId="17" xfId="3" applyNumberFormat="1" applyFont="1" applyFill="1" applyBorder="1"/>
    <xf numFmtId="3" fontId="1" fillId="0" borderId="35" xfId="0" applyNumberFormat="1" applyFont="1" applyBorder="1"/>
    <xf numFmtId="3" fontId="2" fillId="0" borderId="36" xfId="0" applyNumberFormat="1" applyFont="1" applyBorder="1"/>
    <xf numFmtId="0" fontId="2" fillId="0" borderId="17" xfId="0" applyFont="1" applyBorder="1" applyAlignment="1">
      <alignment horizontal="center" vertical="top"/>
    </xf>
    <xf numFmtId="0" fontId="1" fillId="0" borderId="4" xfId="0" applyFont="1" applyBorder="1"/>
    <xf numFmtId="164" fontId="0" fillId="0" borderId="0" xfId="0" applyNumberFormat="1"/>
    <xf numFmtId="0" fontId="2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3" borderId="25" xfId="0" applyFont="1" applyFill="1" applyBorder="1" applyAlignment="1">
      <alignment horizontal="center" vertical="top" wrapText="1"/>
    </xf>
    <xf numFmtId="3" fontId="0" fillId="3" borderId="29" xfId="0" applyNumberFormat="1" applyFill="1" applyBorder="1"/>
    <xf numFmtId="164" fontId="10" fillId="3" borderId="21" xfId="3" applyNumberFormat="1" applyFont="1" applyFill="1" applyBorder="1" applyAlignment="1"/>
    <xf numFmtId="164" fontId="10" fillId="3" borderId="29" xfId="3" applyNumberFormat="1" applyFont="1" applyFill="1" applyBorder="1" applyAlignment="1"/>
    <xf numFmtId="164" fontId="2" fillId="0" borderId="29" xfId="3" applyNumberFormat="1" applyFont="1" applyFill="1" applyBorder="1" applyAlignment="1">
      <alignment horizontal="left"/>
    </xf>
    <xf numFmtId="0" fontId="2" fillId="3" borderId="21" xfId="0" applyFont="1" applyFill="1" applyBorder="1"/>
    <xf numFmtId="164" fontId="1" fillId="3" borderId="25" xfId="3" applyNumberFormat="1" applyFont="1" applyFill="1" applyBorder="1" applyAlignment="1"/>
    <xf numFmtId="0" fontId="1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164" fontId="10" fillId="0" borderId="29" xfId="3" applyNumberFormat="1" applyFont="1" applyFill="1" applyBorder="1" applyAlignment="1"/>
    <xf numFmtId="164" fontId="16" fillId="0" borderId="29" xfId="3" applyNumberFormat="1" applyFont="1" applyFill="1" applyBorder="1" applyAlignment="1"/>
    <xf numFmtId="164" fontId="14" fillId="0" borderId="29" xfId="3" applyNumberFormat="1" applyFont="1" applyFill="1" applyBorder="1" applyAlignment="1"/>
    <xf numFmtId="164" fontId="1" fillId="0" borderId="25" xfId="3" applyNumberFormat="1" applyFont="1" applyFill="1" applyBorder="1" applyAlignment="1"/>
    <xf numFmtId="164" fontId="8" fillId="0" borderId="25" xfId="3" applyNumberFormat="1" applyFont="1" applyFill="1" applyBorder="1"/>
    <xf numFmtId="164" fontId="8" fillId="0" borderId="29" xfId="3" applyNumberFormat="1" applyFont="1" applyFill="1" applyBorder="1" applyAlignment="1"/>
    <xf numFmtId="164" fontId="8" fillId="0" borderId="25" xfId="3" applyNumberFormat="1" applyFont="1" applyFill="1" applyBorder="1" applyAlignment="1"/>
    <xf numFmtId="3" fontId="0" fillId="0" borderId="21" xfId="0" applyNumberFormat="1" applyBorder="1"/>
    <xf numFmtId="164" fontId="0" fillId="0" borderId="16" xfId="3" applyNumberFormat="1" applyFont="1" applyFill="1" applyBorder="1"/>
    <xf numFmtId="3" fontId="10" fillId="0" borderId="29" xfId="0" applyNumberFormat="1" applyFont="1" applyBorder="1"/>
    <xf numFmtId="3" fontId="0" fillId="0" borderId="29" xfId="0" applyNumberFormat="1" applyBorder="1"/>
    <xf numFmtId="3" fontId="1" fillId="0" borderId="17" xfId="0" applyNumberFormat="1" applyFont="1" applyBorder="1"/>
    <xf numFmtId="3" fontId="1" fillId="0" borderId="22" xfId="0" applyNumberFormat="1" applyFont="1" applyBorder="1"/>
    <xf numFmtId="0" fontId="10" fillId="0" borderId="29" xfId="0" applyFont="1" applyBorder="1"/>
    <xf numFmtId="0" fontId="0" fillId="0" borderId="30" xfId="0" applyBorder="1"/>
    <xf numFmtId="3" fontId="1" fillId="0" borderId="29" xfId="0" applyNumberFormat="1" applyFont="1" applyBorder="1"/>
    <xf numFmtId="3" fontId="2" fillId="0" borderId="29" xfId="0" applyNumberFormat="1" applyFont="1" applyBorder="1"/>
    <xf numFmtId="164" fontId="2" fillId="0" borderId="21" xfId="3" applyNumberFormat="1" applyFont="1" applyFill="1" applyBorder="1"/>
    <xf numFmtId="3" fontId="1" fillId="0" borderId="25" xfId="0" applyNumberFormat="1" applyFont="1" applyBorder="1"/>
    <xf numFmtId="3" fontId="2" fillId="0" borderId="25" xfId="0" applyNumberFormat="1" applyFont="1" applyBorder="1"/>
    <xf numFmtId="3" fontId="1" fillId="0" borderId="40" xfId="0" applyNumberFormat="1" applyFont="1" applyBorder="1"/>
    <xf numFmtId="3" fontId="1" fillId="0" borderId="38" xfId="0" applyNumberFormat="1" applyFont="1" applyBorder="1"/>
    <xf numFmtId="0" fontId="11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Tusental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showGridLines="0" tabSelected="1" zoomScale="105" zoomScaleNormal="77" workbookViewId="0">
      <pane xSplit="3" ySplit="4" topLeftCell="D20" activePane="bottomRight" state="frozen"/>
      <selection pane="topRight" activeCell="E1" sqref="E1"/>
      <selection pane="bottomLeft" activeCell="A5" sqref="A5"/>
      <selection pane="bottomRight" activeCell="L31" sqref="L31"/>
    </sheetView>
  </sheetViews>
  <sheetFormatPr defaultColWidth="8.85546875" defaultRowHeight="12.75" x14ac:dyDescent="0.2"/>
  <cols>
    <col min="1" max="1" width="29.140625" customWidth="1"/>
    <col min="2" max="2" width="13.5703125" customWidth="1"/>
    <col min="3" max="3" width="11.28515625" customWidth="1"/>
    <col min="4" max="4" width="12.7109375" customWidth="1"/>
    <col min="5" max="5" width="13.5703125" customWidth="1"/>
    <col min="6" max="6" width="15.85546875" customWidth="1"/>
    <col min="7" max="7" width="17.28515625" customWidth="1"/>
    <col min="8" max="8" width="16.140625" customWidth="1"/>
    <col min="9" max="9" width="12.85546875" customWidth="1"/>
    <col min="10" max="10" width="12.42578125" customWidth="1"/>
    <col min="11" max="11" width="14.85546875" customWidth="1"/>
    <col min="12" max="12" width="12.7109375" customWidth="1"/>
    <col min="13" max="13" width="12.140625" customWidth="1"/>
    <col min="15" max="15" width="19.42578125" customWidth="1"/>
  </cols>
  <sheetData>
    <row r="1" spans="1:15" ht="23.25" x14ac:dyDescent="0.35">
      <c r="A1" s="16" t="s">
        <v>221</v>
      </c>
      <c r="G1" s="63"/>
      <c r="L1" s="15"/>
    </row>
    <row r="2" spans="1:15" ht="23.25" x14ac:dyDescent="0.35">
      <c r="A2" s="16"/>
      <c r="G2" s="63"/>
      <c r="L2" s="15"/>
    </row>
    <row r="3" spans="1:15" ht="15" x14ac:dyDescent="0.2">
      <c r="D3" s="63" t="s">
        <v>202</v>
      </c>
      <c r="E3" s="63" t="s">
        <v>203</v>
      </c>
      <c r="F3" s="147" t="s">
        <v>162</v>
      </c>
      <c r="I3" s="58" t="s">
        <v>161</v>
      </c>
      <c r="J3" s="59"/>
      <c r="K3" s="60"/>
      <c r="L3" s="56" t="s">
        <v>179</v>
      </c>
    </row>
    <row r="4" spans="1:15" s="17" customFormat="1" ht="45" x14ac:dyDescent="0.25">
      <c r="A4" s="43" t="s">
        <v>56</v>
      </c>
      <c r="B4" s="64" t="s">
        <v>177</v>
      </c>
      <c r="C4" s="64" t="s">
        <v>187</v>
      </c>
      <c r="D4" s="88" t="s">
        <v>178</v>
      </c>
      <c r="E4" s="64" t="s">
        <v>178</v>
      </c>
      <c r="F4" s="157" t="s">
        <v>201</v>
      </c>
      <c r="G4" s="64" t="s">
        <v>158</v>
      </c>
      <c r="H4" s="45" t="s">
        <v>186</v>
      </c>
      <c r="I4" s="51" t="s">
        <v>169</v>
      </c>
      <c r="J4" s="44" t="s">
        <v>57</v>
      </c>
      <c r="K4" s="45" t="s">
        <v>58</v>
      </c>
      <c r="L4" s="44" t="s">
        <v>180</v>
      </c>
      <c r="M4" s="45" t="s">
        <v>181</v>
      </c>
    </row>
    <row r="5" spans="1:15" x14ac:dyDescent="0.2">
      <c r="A5" s="40"/>
      <c r="B5" s="80"/>
      <c r="C5" s="80"/>
      <c r="D5" s="52"/>
      <c r="E5" s="80"/>
      <c r="F5" s="158"/>
      <c r="G5" s="65"/>
      <c r="I5" s="53"/>
      <c r="K5" s="40"/>
      <c r="M5" s="40"/>
    </row>
    <row r="6" spans="1:15" x14ac:dyDescent="0.2">
      <c r="A6" s="46" t="s">
        <v>138</v>
      </c>
      <c r="B6" s="89">
        <v>0</v>
      </c>
      <c r="C6" s="89">
        <v>0</v>
      </c>
      <c r="D6" s="90">
        <v>0</v>
      </c>
      <c r="E6" s="89"/>
      <c r="F6" s="109"/>
      <c r="G6" s="81">
        <v>230000</v>
      </c>
      <c r="H6" s="82">
        <v>0</v>
      </c>
      <c r="I6" s="91">
        <f>D6+H6-G6</f>
        <v>-230000</v>
      </c>
      <c r="J6" s="92">
        <v>47</v>
      </c>
      <c r="K6" s="93">
        <f>$I6/$J6</f>
        <v>-4893.6170212765956</v>
      </c>
      <c r="L6" s="92"/>
      <c r="M6" s="93">
        <f>$I6/$J6</f>
        <v>-4893.6170212765956</v>
      </c>
    </row>
    <row r="7" spans="1:15" x14ac:dyDescent="0.2">
      <c r="A7" s="38"/>
      <c r="B7" s="94"/>
      <c r="C7" s="94"/>
      <c r="D7" s="95"/>
      <c r="E7" s="94"/>
      <c r="F7" s="107"/>
      <c r="G7" s="96"/>
      <c r="H7" s="97"/>
      <c r="I7" s="98"/>
      <c r="J7" s="99"/>
      <c r="K7" s="100"/>
      <c r="L7" s="99"/>
      <c r="M7" s="100"/>
    </row>
    <row r="8" spans="1:15" x14ac:dyDescent="0.2">
      <c r="A8" s="38" t="s">
        <v>59</v>
      </c>
      <c r="B8" s="94"/>
      <c r="C8" s="94"/>
      <c r="D8" s="95"/>
      <c r="E8" s="94"/>
      <c r="F8" s="107"/>
      <c r="G8" s="96"/>
      <c r="H8" s="97"/>
      <c r="I8" s="98"/>
      <c r="J8" s="99"/>
      <c r="K8" s="100"/>
      <c r="L8" s="99"/>
      <c r="M8" s="100"/>
    </row>
    <row r="9" spans="1:15" x14ac:dyDescent="0.2">
      <c r="A9" s="40" t="s">
        <v>148</v>
      </c>
      <c r="B9" s="94"/>
      <c r="C9" s="94"/>
      <c r="D9" s="95">
        <v>12000</v>
      </c>
      <c r="E9" s="94">
        <v>8031</v>
      </c>
      <c r="F9" s="159">
        <v>10000</v>
      </c>
      <c r="G9" s="101"/>
      <c r="H9" s="97"/>
      <c r="I9" s="98"/>
      <c r="J9" s="102"/>
      <c r="K9" s="102"/>
      <c r="L9" s="102"/>
      <c r="M9" s="102"/>
    </row>
    <row r="10" spans="1:15" x14ac:dyDescent="0.2">
      <c r="A10" s="39" t="s">
        <v>147</v>
      </c>
      <c r="B10" s="94"/>
      <c r="C10" s="94"/>
      <c r="D10" s="95">
        <v>3000</v>
      </c>
      <c r="E10" s="94">
        <f>8569+417+4058+1430</f>
        <v>14474</v>
      </c>
      <c r="F10" s="159">
        <v>8000</v>
      </c>
      <c r="G10" s="101"/>
      <c r="H10" s="97"/>
      <c r="I10" s="101"/>
      <c r="J10" s="96"/>
      <c r="K10" s="102"/>
      <c r="L10" s="102"/>
      <c r="M10" s="102"/>
    </row>
    <row r="11" spans="1:15" x14ac:dyDescent="0.2">
      <c r="A11" s="46" t="s">
        <v>163</v>
      </c>
      <c r="B11" s="89">
        <v>13702</v>
      </c>
      <c r="C11" s="89">
        <v>11699</v>
      </c>
      <c r="D11" s="90">
        <f>SUM(D9:D10)</f>
        <v>15000</v>
      </c>
      <c r="E11" s="89">
        <f>E9+E10</f>
        <v>22505</v>
      </c>
      <c r="F11" s="90">
        <f>SUM(F9:F10)</f>
        <v>18000</v>
      </c>
      <c r="G11" s="103">
        <v>0</v>
      </c>
      <c r="H11" s="104">
        <f>+G11</f>
        <v>0</v>
      </c>
      <c r="I11" s="103">
        <f>+F11+H11-G11</f>
        <v>18000</v>
      </c>
      <c r="J11" s="171">
        <f>+'Debiteringslängd neste år'!D59</f>
        <v>50</v>
      </c>
      <c r="K11" s="105">
        <f>$I11/$J11</f>
        <v>360</v>
      </c>
      <c r="L11" s="105">
        <f>+K11*J11</f>
        <v>18000</v>
      </c>
      <c r="M11" s="105">
        <f>+L11-I11</f>
        <v>0</v>
      </c>
      <c r="O11" s="19"/>
    </row>
    <row r="12" spans="1:15" x14ac:dyDescent="0.2">
      <c r="A12" s="40"/>
      <c r="B12" s="94"/>
      <c r="C12" s="94"/>
      <c r="D12" s="95"/>
      <c r="E12" s="94"/>
      <c r="F12" s="95"/>
      <c r="G12" s="101"/>
      <c r="H12" s="97"/>
      <c r="I12" s="101"/>
      <c r="J12" s="96"/>
      <c r="K12" s="102"/>
      <c r="L12" s="102"/>
      <c r="M12" s="102"/>
    </row>
    <row r="13" spans="1:15" x14ac:dyDescent="0.2">
      <c r="A13" s="38" t="s">
        <v>60</v>
      </c>
      <c r="B13" s="106"/>
      <c r="C13" s="106"/>
      <c r="D13" s="95"/>
      <c r="E13" s="106"/>
      <c r="F13" s="95"/>
      <c r="G13" s="101"/>
      <c r="H13" s="96"/>
      <c r="I13" s="96"/>
      <c r="J13" s="96"/>
      <c r="K13" s="102"/>
      <c r="L13" s="102"/>
      <c r="M13" s="102"/>
    </row>
    <row r="14" spans="1:15" x14ac:dyDescent="0.2">
      <c r="A14" s="40" t="s">
        <v>129</v>
      </c>
      <c r="B14" s="94"/>
      <c r="C14" s="94"/>
      <c r="D14" s="95">
        <v>30000</v>
      </c>
      <c r="E14" s="94">
        <v>22249</v>
      </c>
      <c r="F14" s="159">
        <v>48000</v>
      </c>
      <c r="G14" s="101"/>
      <c r="H14" s="96"/>
      <c r="I14" s="96"/>
      <c r="J14" s="96"/>
      <c r="K14" s="102"/>
      <c r="L14" s="102"/>
      <c r="M14" s="102"/>
    </row>
    <row r="15" spans="1:15" x14ac:dyDescent="0.2">
      <c r="A15" s="40" t="s">
        <v>0</v>
      </c>
      <c r="B15" s="94"/>
      <c r="C15" s="94"/>
      <c r="D15" s="107">
        <v>4200</v>
      </c>
      <c r="E15" s="94">
        <v>3962</v>
      </c>
      <c r="F15" s="107">
        <v>4200</v>
      </c>
      <c r="G15" s="101"/>
      <c r="H15" s="96"/>
      <c r="I15" s="96"/>
      <c r="J15" s="96"/>
      <c r="K15" s="102"/>
      <c r="L15" s="102"/>
      <c r="M15" s="102"/>
    </row>
    <row r="16" spans="1:15" x14ac:dyDescent="0.2">
      <c r="A16" s="40" t="s">
        <v>6</v>
      </c>
      <c r="B16" s="94"/>
      <c r="C16" s="94"/>
      <c r="D16" s="107">
        <v>10000</v>
      </c>
      <c r="E16" s="94">
        <v>19345</v>
      </c>
      <c r="F16" s="160">
        <v>16000</v>
      </c>
      <c r="G16" s="101"/>
      <c r="H16" s="96"/>
      <c r="I16" s="101"/>
      <c r="J16" s="96"/>
      <c r="K16" s="102"/>
      <c r="L16" s="102"/>
      <c r="M16" s="102"/>
    </row>
    <row r="17" spans="1:13" x14ac:dyDescent="0.2">
      <c r="A17" s="39" t="s">
        <v>149</v>
      </c>
      <c r="B17" s="94"/>
      <c r="C17" s="94"/>
      <c r="D17" s="108">
        <v>14000</v>
      </c>
      <c r="E17" s="94">
        <v>13225</v>
      </c>
      <c r="F17" s="108">
        <v>15000</v>
      </c>
      <c r="G17" s="101"/>
      <c r="H17" s="96">
        <v>0</v>
      </c>
      <c r="I17" s="101"/>
      <c r="J17" s="96"/>
      <c r="K17" s="102"/>
      <c r="L17" s="102"/>
      <c r="M17" s="102"/>
    </row>
    <row r="18" spans="1:13" x14ac:dyDescent="0.2">
      <c r="A18" s="39" t="s">
        <v>155</v>
      </c>
      <c r="B18" s="94"/>
      <c r="C18" s="94"/>
      <c r="D18" s="107">
        <v>4200</v>
      </c>
      <c r="E18" s="94"/>
      <c r="F18" s="160"/>
      <c r="G18" s="101"/>
      <c r="H18" s="96"/>
      <c r="I18" s="101"/>
      <c r="J18" s="96"/>
      <c r="K18" s="102"/>
      <c r="L18" s="102"/>
      <c r="M18" s="102"/>
    </row>
    <row r="19" spans="1:13" x14ac:dyDescent="0.2">
      <c r="A19" s="46" t="s">
        <v>163</v>
      </c>
      <c r="B19" s="89">
        <v>101940</v>
      </c>
      <c r="C19" s="89">
        <v>33402</v>
      </c>
      <c r="D19" s="163">
        <f>SUM(D14:D18)</f>
        <v>62400</v>
      </c>
      <c r="E19" s="89">
        <f>E14+E15+E16+E17</f>
        <v>58781</v>
      </c>
      <c r="F19" s="163">
        <f>SUM(F14:F18)</f>
        <v>83200</v>
      </c>
      <c r="G19" s="103">
        <f>301635-E19+D19</f>
        <v>305254</v>
      </c>
      <c r="H19" s="171">
        <v>300000</v>
      </c>
      <c r="I19" s="103">
        <f>+F19+H19-G19</f>
        <v>77946</v>
      </c>
      <c r="J19" s="171">
        <f>+'Debiteringslängd neste år'!E59</f>
        <v>46</v>
      </c>
      <c r="K19" s="105">
        <f>$I19/$J19</f>
        <v>1694.4782608695652</v>
      </c>
      <c r="L19" s="105">
        <f>+K19*J19</f>
        <v>77946</v>
      </c>
      <c r="M19" s="105">
        <f>+L19-D19</f>
        <v>15546</v>
      </c>
    </row>
    <row r="20" spans="1:13" x14ac:dyDescent="0.2">
      <c r="A20" s="40"/>
      <c r="B20" s="94"/>
      <c r="C20" s="94"/>
      <c r="D20" s="107"/>
      <c r="E20" s="94"/>
      <c r="F20" s="107"/>
      <c r="G20" s="101"/>
      <c r="H20" s="96"/>
      <c r="I20" s="101"/>
      <c r="J20" s="96"/>
      <c r="K20" s="102"/>
      <c r="L20" s="102"/>
      <c r="M20" s="102"/>
    </row>
    <row r="21" spans="1:13" x14ac:dyDescent="0.2">
      <c r="A21" s="38" t="s">
        <v>61</v>
      </c>
      <c r="B21" s="106"/>
      <c r="C21" s="106"/>
      <c r="D21" s="107"/>
      <c r="E21" s="106"/>
      <c r="F21" s="107"/>
      <c r="G21" s="101"/>
      <c r="H21" s="96"/>
      <c r="I21" s="98"/>
      <c r="J21" s="102"/>
      <c r="K21" s="102"/>
      <c r="L21" s="102"/>
      <c r="M21" s="102"/>
    </row>
    <row r="22" spans="1:13" x14ac:dyDescent="0.2">
      <c r="A22" s="40" t="s">
        <v>62</v>
      </c>
      <c r="B22" s="94"/>
      <c r="C22" s="94"/>
      <c r="D22" s="107">
        <v>70000</v>
      </c>
      <c r="E22" s="94">
        <v>71805</v>
      </c>
      <c r="F22" s="160">
        <v>16000</v>
      </c>
      <c r="G22" s="101"/>
      <c r="H22" s="96"/>
      <c r="I22" s="98"/>
      <c r="J22" s="102"/>
      <c r="K22" s="102"/>
      <c r="L22" s="102"/>
      <c r="M22" s="102"/>
    </row>
    <row r="23" spans="1:13" x14ac:dyDescent="0.2">
      <c r="A23" s="39" t="s">
        <v>1</v>
      </c>
      <c r="B23" s="94"/>
      <c r="C23" s="94"/>
      <c r="D23" s="107">
        <v>10000</v>
      </c>
      <c r="E23" s="94"/>
      <c r="F23" s="160">
        <v>8000</v>
      </c>
      <c r="G23" s="101"/>
      <c r="H23" s="96"/>
      <c r="I23" s="101"/>
      <c r="J23" s="96"/>
      <c r="K23" s="102"/>
      <c r="L23" s="102"/>
      <c r="M23" s="102"/>
    </row>
    <row r="24" spans="1:13" x14ac:dyDescent="0.2">
      <c r="A24" s="54" t="s">
        <v>163</v>
      </c>
      <c r="B24" s="89">
        <v>4334</v>
      </c>
      <c r="C24" s="89">
        <v>6900</v>
      </c>
      <c r="D24" s="163">
        <f>SUM(D22:D23)</f>
        <v>80000</v>
      </c>
      <c r="E24" s="89">
        <v>71805</v>
      </c>
      <c r="F24" s="163">
        <f>SUM(F22:F23)</f>
        <v>24000</v>
      </c>
      <c r="G24" s="103">
        <f>213561+D24-E24</f>
        <v>221756</v>
      </c>
      <c r="H24" s="171">
        <v>220000</v>
      </c>
      <c r="I24" s="103">
        <f>+F24+H24-G24</f>
        <v>22244</v>
      </c>
      <c r="J24" s="171">
        <f>+'Debiteringslängd neste år'!K59</f>
        <v>145</v>
      </c>
      <c r="K24" s="105">
        <f>$I24/$J24</f>
        <v>153.40689655172415</v>
      </c>
      <c r="L24" s="105">
        <f>+K24*J24</f>
        <v>22244</v>
      </c>
      <c r="M24" s="105">
        <f>+L24-D24</f>
        <v>-57756</v>
      </c>
    </row>
    <row r="25" spans="1:13" x14ac:dyDescent="0.2">
      <c r="A25" s="40"/>
      <c r="B25" s="94"/>
      <c r="C25" s="94"/>
      <c r="D25" s="107"/>
      <c r="E25" s="94"/>
      <c r="F25" s="107"/>
      <c r="G25" s="101"/>
      <c r="H25" s="96"/>
      <c r="I25" s="98"/>
      <c r="J25" s="102"/>
      <c r="K25" s="102"/>
      <c r="L25" s="102"/>
      <c r="M25" s="102"/>
    </row>
    <row r="26" spans="1:13" x14ac:dyDescent="0.2">
      <c r="A26" s="41" t="s">
        <v>43</v>
      </c>
      <c r="B26" s="110"/>
      <c r="C26" s="110"/>
      <c r="D26" s="107"/>
      <c r="E26" s="110"/>
      <c r="F26" s="107"/>
      <c r="G26" s="101"/>
      <c r="H26" s="96"/>
      <c r="I26" s="98"/>
      <c r="J26" s="102"/>
      <c r="K26" s="102"/>
      <c r="L26" s="102"/>
      <c r="M26" s="102"/>
    </row>
    <row r="27" spans="1:13" x14ac:dyDescent="0.2">
      <c r="A27" s="42" t="s">
        <v>170</v>
      </c>
      <c r="B27" s="111"/>
      <c r="C27" s="111"/>
      <c r="D27" s="107">
        <v>30000</v>
      </c>
      <c r="E27" s="161">
        <v>38839</v>
      </c>
      <c r="F27" s="167">
        <v>30000</v>
      </c>
      <c r="G27" s="101"/>
      <c r="H27" s="96"/>
      <c r="I27" s="101"/>
      <c r="J27" s="96"/>
      <c r="K27" s="102"/>
      <c r="L27" s="102"/>
      <c r="M27" s="102"/>
    </row>
    <row r="28" spans="1:13" x14ac:dyDescent="0.2">
      <c r="A28" s="39" t="s">
        <v>145</v>
      </c>
      <c r="B28" s="94"/>
      <c r="C28" s="94"/>
      <c r="D28" s="107">
        <v>22000</v>
      </c>
      <c r="E28" s="94">
        <v>31120</v>
      </c>
      <c r="F28" s="168">
        <v>17000</v>
      </c>
      <c r="G28" s="101"/>
      <c r="H28" s="96"/>
      <c r="I28" s="101"/>
      <c r="J28" s="96"/>
      <c r="K28" s="102"/>
      <c r="L28" s="102"/>
      <c r="M28" s="102"/>
    </row>
    <row r="29" spans="1:13" x14ac:dyDescent="0.2">
      <c r="A29" s="42" t="s">
        <v>0</v>
      </c>
      <c r="B29" s="94"/>
      <c r="C29" s="94"/>
      <c r="D29" s="108">
        <v>3000</v>
      </c>
      <c r="E29" s="94">
        <v>2884</v>
      </c>
      <c r="F29" s="169">
        <v>3000</v>
      </c>
      <c r="G29" s="101"/>
      <c r="H29" s="96"/>
      <c r="I29" s="101"/>
      <c r="J29" s="96"/>
      <c r="K29" s="102"/>
      <c r="L29" s="102"/>
      <c r="M29" s="102"/>
    </row>
    <row r="30" spans="1:13" x14ac:dyDescent="0.2">
      <c r="A30" s="39" t="s">
        <v>159</v>
      </c>
      <c r="B30" s="94"/>
      <c r="C30" s="94"/>
      <c r="D30" s="107">
        <v>57000</v>
      </c>
      <c r="E30" s="94">
        <v>56752</v>
      </c>
      <c r="F30" s="168">
        <v>27000</v>
      </c>
      <c r="G30" s="101"/>
      <c r="H30" s="96"/>
      <c r="I30" s="101"/>
      <c r="J30" s="96"/>
      <c r="K30" s="102"/>
      <c r="L30" s="102"/>
      <c r="M30" s="102"/>
    </row>
    <row r="31" spans="1:13" x14ac:dyDescent="0.2">
      <c r="A31" s="54" t="s">
        <v>163</v>
      </c>
      <c r="B31" s="89">
        <v>142374</v>
      </c>
      <c r="C31" s="89">
        <v>79136</v>
      </c>
      <c r="D31" s="163">
        <f>SUM(D27:D30)</f>
        <v>112000</v>
      </c>
      <c r="E31" s="89">
        <f>E27+E28+E29+E30</f>
        <v>129595</v>
      </c>
      <c r="F31" s="170">
        <f>SUM(F27:F30)</f>
        <v>77000</v>
      </c>
      <c r="G31" s="103">
        <v>29701</v>
      </c>
      <c r="H31" s="171">
        <v>-370000</v>
      </c>
      <c r="I31" s="103">
        <f>+F31+H31-G31</f>
        <v>-322701</v>
      </c>
      <c r="J31" s="171">
        <f>SUM('Debiteringslängd neste år'!F59:H59)</f>
        <v>1128</v>
      </c>
      <c r="K31" s="105">
        <f>+'Debiteringslängd neste år'!G4</f>
        <v>110</v>
      </c>
      <c r="L31" s="105">
        <f>+K31*J31</f>
        <v>124080</v>
      </c>
      <c r="M31" s="105">
        <f>+L31-D31</f>
        <v>12080</v>
      </c>
    </row>
    <row r="32" spans="1:13" x14ac:dyDescent="0.2">
      <c r="A32" s="38"/>
      <c r="B32" s="106"/>
      <c r="C32" s="106"/>
      <c r="D32" s="112"/>
      <c r="E32" s="106"/>
      <c r="F32" s="172"/>
      <c r="G32" s="113"/>
      <c r="H32" s="114"/>
      <c r="I32" s="113"/>
      <c r="J32" s="114"/>
      <c r="K32" s="115"/>
      <c r="L32" s="115"/>
      <c r="M32" s="115"/>
    </row>
    <row r="33" spans="1:13" x14ac:dyDescent="0.2">
      <c r="A33" s="55" t="s">
        <v>140</v>
      </c>
      <c r="B33" s="116">
        <f>SUM(B6:B32)</f>
        <v>262350</v>
      </c>
      <c r="C33" s="116">
        <f>SUM(C6:C32)</f>
        <v>131137</v>
      </c>
      <c r="D33" s="109">
        <f t="shared" ref="D33:I33" si="0">+D31+D24+D19+D11+D6</f>
        <v>269400</v>
      </c>
      <c r="E33" s="109">
        <f t="shared" si="0"/>
        <v>282686</v>
      </c>
      <c r="F33" s="173">
        <f t="shared" si="0"/>
        <v>202200</v>
      </c>
      <c r="G33" s="173">
        <f t="shared" si="0"/>
        <v>786711</v>
      </c>
      <c r="H33" s="173">
        <f t="shared" si="0"/>
        <v>150000</v>
      </c>
      <c r="I33" s="173">
        <f t="shared" si="0"/>
        <v>-434511</v>
      </c>
      <c r="J33" s="171"/>
      <c r="K33" s="117"/>
      <c r="L33" s="109">
        <f>+L31+L24+L19+L11+L6</f>
        <v>242270</v>
      </c>
      <c r="M33" s="109">
        <f>+M31+M24+M19+M11+M6</f>
        <v>-35023.617021276594</v>
      </c>
    </row>
    <row r="34" spans="1:13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</row>
    <row r="35" spans="1:13" x14ac:dyDescent="0.2">
      <c r="A35" s="41" t="s">
        <v>63</v>
      </c>
      <c r="B35" s="129"/>
      <c r="C35" s="129"/>
      <c r="D35" s="52"/>
      <c r="E35" s="130"/>
      <c r="F35" s="174"/>
      <c r="G35" s="40"/>
      <c r="I35" s="175"/>
      <c r="K35" s="129"/>
      <c r="L35" s="131"/>
      <c r="M35" s="131"/>
    </row>
    <row r="36" spans="1:13" x14ac:dyDescent="0.2">
      <c r="A36" s="40" t="s">
        <v>64</v>
      </c>
      <c r="B36" s="132"/>
      <c r="C36" s="132"/>
      <c r="D36" s="52">
        <v>4000</v>
      </c>
      <c r="E36" s="132">
        <v>3925</v>
      </c>
      <c r="F36" s="176">
        <v>3300</v>
      </c>
      <c r="G36" s="65"/>
      <c r="I36" s="101"/>
      <c r="K36" s="130"/>
      <c r="L36" s="130"/>
      <c r="M36" s="40"/>
    </row>
    <row r="37" spans="1:13" x14ac:dyDescent="0.2">
      <c r="A37" s="40" t="s">
        <v>65</v>
      </c>
      <c r="B37" s="132"/>
      <c r="C37" s="132"/>
      <c r="D37" s="52">
        <v>700</v>
      </c>
      <c r="E37" s="132">
        <v>679</v>
      </c>
      <c r="F37" s="177">
        <v>700</v>
      </c>
      <c r="G37" s="65"/>
      <c r="I37" s="101"/>
      <c r="K37" s="130"/>
      <c r="L37" s="130"/>
      <c r="M37" s="40"/>
    </row>
    <row r="38" spans="1:13" x14ac:dyDescent="0.2">
      <c r="A38" s="40" t="s">
        <v>66</v>
      </c>
      <c r="B38" s="132"/>
      <c r="C38" s="132"/>
      <c r="D38" s="52">
        <v>0</v>
      </c>
      <c r="E38" s="132"/>
      <c r="F38" s="177"/>
      <c r="G38" s="65"/>
      <c r="I38" s="101"/>
      <c r="K38" s="130"/>
      <c r="L38" s="130"/>
      <c r="M38" s="40"/>
    </row>
    <row r="39" spans="1:13" x14ac:dyDescent="0.2">
      <c r="A39" s="118" t="s">
        <v>139</v>
      </c>
      <c r="B39" s="84">
        <v>4452</v>
      </c>
      <c r="C39" s="84">
        <v>4401</v>
      </c>
      <c r="D39" s="134">
        <f>+SUM(D36:D38)</f>
        <v>4700</v>
      </c>
      <c r="E39" s="84">
        <f>E36+E37</f>
        <v>4604</v>
      </c>
      <c r="F39" s="178">
        <f>+SUM(F36:F38)</f>
        <v>4000</v>
      </c>
      <c r="G39" s="179">
        <v>5180</v>
      </c>
      <c r="H39" s="104">
        <v>5180</v>
      </c>
      <c r="I39" s="103">
        <f>+F39+H39-G39</f>
        <v>4000</v>
      </c>
      <c r="J39" s="179">
        <f>+'Debiteringslängd neste år'!I59</f>
        <v>38</v>
      </c>
      <c r="K39" s="105">
        <f>$I39/$J39</f>
        <v>105.26315789473684</v>
      </c>
      <c r="L39" s="105">
        <f>+K39*J39</f>
        <v>3999.9999999999995</v>
      </c>
      <c r="M39" s="119">
        <v>129.48717948717947</v>
      </c>
    </row>
    <row r="40" spans="1:13" x14ac:dyDescent="0.2">
      <c r="A40" s="40"/>
      <c r="B40" s="130"/>
      <c r="C40" s="130"/>
      <c r="D40" s="53"/>
      <c r="E40" s="130"/>
      <c r="F40" s="65"/>
      <c r="G40" s="65"/>
      <c r="I40" s="101"/>
      <c r="K40" s="130"/>
      <c r="L40" s="130"/>
      <c r="M40" s="40"/>
    </row>
    <row r="41" spans="1:13" x14ac:dyDescent="0.2">
      <c r="A41" s="41" t="s">
        <v>182</v>
      </c>
      <c r="B41" s="130"/>
      <c r="C41" s="130"/>
      <c r="D41" s="53"/>
      <c r="E41" s="130"/>
      <c r="F41" s="65"/>
      <c r="G41" s="65"/>
      <c r="I41" s="101"/>
      <c r="K41" s="130"/>
      <c r="L41" s="130"/>
      <c r="M41" s="40"/>
    </row>
    <row r="42" spans="1:13" x14ac:dyDescent="0.2">
      <c r="A42" s="39" t="s">
        <v>183</v>
      </c>
      <c r="B42" s="130"/>
      <c r="C42" s="130"/>
      <c r="D42" s="162">
        <v>15000</v>
      </c>
      <c r="E42" s="130"/>
      <c r="F42" s="180">
        <v>12000</v>
      </c>
      <c r="G42" s="65"/>
      <c r="I42" s="101"/>
      <c r="K42" s="130"/>
      <c r="L42" s="130"/>
      <c r="M42" s="40"/>
    </row>
    <row r="43" spans="1:13" x14ac:dyDescent="0.2">
      <c r="A43" s="39" t="s">
        <v>64</v>
      </c>
      <c r="B43" s="130"/>
      <c r="C43" s="130"/>
      <c r="D43" s="162">
        <v>6000</v>
      </c>
      <c r="E43" s="130"/>
      <c r="F43" s="180">
        <v>5000</v>
      </c>
      <c r="G43" s="65"/>
      <c r="I43" s="101"/>
      <c r="K43" s="130"/>
      <c r="L43" s="130"/>
      <c r="M43" s="40"/>
    </row>
    <row r="44" spans="1:13" x14ac:dyDescent="0.2">
      <c r="A44" s="39" t="s">
        <v>65</v>
      </c>
      <c r="B44" s="130"/>
      <c r="C44" s="130"/>
      <c r="D44" s="53">
        <v>2000</v>
      </c>
      <c r="E44" s="130"/>
      <c r="F44" s="65">
        <v>2000</v>
      </c>
      <c r="G44" s="65"/>
      <c r="I44" s="101"/>
      <c r="K44" s="130"/>
      <c r="L44" s="130"/>
      <c r="M44" s="40"/>
    </row>
    <row r="45" spans="1:13" x14ac:dyDescent="0.2">
      <c r="A45" s="39" t="s">
        <v>184</v>
      </c>
      <c r="B45" s="130"/>
      <c r="C45" s="130"/>
      <c r="D45" s="53">
        <v>3000</v>
      </c>
      <c r="E45" s="130"/>
      <c r="F45" s="180">
        <v>3000</v>
      </c>
      <c r="G45" s="65"/>
      <c r="I45" s="101"/>
      <c r="K45" s="130"/>
      <c r="L45" s="130"/>
      <c r="M45" s="40"/>
    </row>
    <row r="46" spans="1:13" x14ac:dyDescent="0.2">
      <c r="A46" s="118" t="s">
        <v>185</v>
      </c>
      <c r="B46" s="84">
        <v>43843</v>
      </c>
      <c r="C46" s="84">
        <v>55547</v>
      </c>
      <c r="D46" s="134">
        <f>+SUM(D42:D45)</f>
        <v>26000</v>
      </c>
      <c r="E46" s="84">
        <v>21743</v>
      </c>
      <c r="F46" s="178">
        <f>+SUM(F42:F45)</f>
        <v>22000</v>
      </c>
      <c r="G46" s="179">
        <v>-11599</v>
      </c>
      <c r="H46" s="179">
        <v>0</v>
      </c>
      <c r="I46" s="103">
        <f>+F46+H46-G46</f>
        <v>33599</v>
      </c>
      <c r="J46" s="178">
        <f>+'Debiteringslängd neste år'!J59</f>
        <v>113</v>
      </c>
      <c r="K46" s="105">
        <f>$I46/$J46</f>
        <v>297.33628318584073</v>
      </c>
      <c r="L46" s="105">
        <f>+K46*J46</f>
        <v>33599</v>
      </c>
      <c r="M46" s="105">
        <f>+L46-D46</f>
        <v>7599</v>
      </c>
    </row>
    <row r="47" spans="1:13" x14ac:dyDescent="0.2">
      <c r="A47" s="40"/>
      <c r="B47" s="130"/>
      <c r="C47" s="130"/>
      <c r="D47" s="53"/>
      <c r="E47" s="130"/>
      <c r="F47" s="65"/>
      <c r="G47" s="65"/>
      <c r="I47" s="175"/>
      <c r="J47" s="181"/>
      <c r="K47" s="86"/>
      <c r="L47" s="130"/>
      <c r="M47" s="40"/>
    </row>
    <row r="48" spans="1:13" s="86" customFormat="1" x14ac:dyDescent="0.2">
      <c r="A48" s="120" t="s">
        <v>141</v>
      </c>
      <c r="B48" s="128"/>
      <c r="C48" s="128"/>
      <c r="D48" s="121"/>
      <c r="E48" s="128"/>
      <c r="F48" s="182"/>
      <c r="G48" s="182"/>
      <c r="I48" s="101"/>
      <c r="J48" s="183"/>
      <c r="K48" s="135"/>
      <c r="L48" s="128"/>
      <c r="M48" s="120"/>
    </row>
    <row r="49" spans="1:13" x14ac:dyDescent="0.2">
      <c r="A49" s="39" t="s">
        <v>156</v>
      </c>
      <c r="B49" s="146">
        <v>2615</v>
      </c>
      <c r="C49" s="146">
        <v>4969</v>
      </c>
      <c r="D49" s="52">
        <v>6000</v>
      </c>
      <c r="E49" s="146">
        <v>1813</v>
      </c>
      <c r="F49" s="176">
        <v>2500</v>
      </c>
      <c r="G49" s="177">
        <v>10852</v>
      </c>
      <c r="H49" s="19">
        <v>8000</v>
      </c>
      <c r="I49" s="184">
        <f>D49+H49-G49</f>
        <v>3148</v>
      </c>
      <c r="J49" s="183">
        <v>17</v>
      </c>
      <c r="K49" s="135">
        <f>$I49/$J49</f>
        <v>185.1764705882353</v>
      </c>
      <c r="L49" s="130">
        <f>+K49*J49</f>
        <v>3148</v>
      </c>
      <c r="M49" s="143">
        <f>+L49-D49</f>
        <v>-2852</v>
      </c>
    </row>
    <row r="50" spans="1:13" x14ac:dyDescent="0.2">
      <c r="A50" s="39" t="s">
        <v>157</v>
      </c>
      <c r="B50" s="146">
        <v>1179</v>
      </c>
      <c r="C50" s="146">
        <v>1458</v>
      </c>
      <c r="D50" s="122">
        <v>3000</v>
      </c>
      <c r="E50" s="146">
        <v>1368</v>
      </c>
      <c r="F50" s="176">
        <v>1500</v>
      </c>
      <c r="G50" s="177">
        <v>5864</v>
      </c>
      <c r="H50" s="19">
        <v>5000</v>
      </c>
      <c r="I50" s="184">
        <f>D50+H50-G50</f>
        <v>2136</v>
      </c>
      <c r="J50" s="183">
        <v>4</v>
      </c>
      <c r="K50" s="135">
        <f>$I50/$J50</f>
        <v>534</v>
      </c>
      <c r="L50" s="130">
        <f>+K50*J50</f>
        <v>2136</v>
      </c>
      <c r="M50" s="143">
        <f>+L50-D50</f>
        <v>-864</v>
      </c>
    </row>
    <row r="51" spans="1:13" x14ac:dyDescent="0.2">
      <c r="A51" s="136" t="s">
        <v>142</v>
      </c>
      <c r="B51" s="85">
        <f t="shared" ref="B51:C51" si="1">+SUM(B49:B50)</f>
        <v>3794</v>
      </c>
      <c r="C51" s="84">
        <f t="shared" si="1"/>
        <v>6427</v>
      </c>
      <c r="D51" s="134">
        <f>+SUM(D49:D50)</f>
        <v>9000</v>
      </c>
      <c r="E51" s="84">
        <f>E49+E50</f>
        <v>3181</v>
      </c>
      <c r="F51" s="178">
        <f>+SUM(F49:F50)</f>
        <v>4000</v>
      </c>
      <c r="G51" s="185">
        <f>+SUM(G49:G50)</f>
        <v>16716</v>
      </c>
      <c r="H51" s="179">
        <f>+SUM(H49:H50)</f>
        <v>13000</v>
      </c>
      <c r="I51" s="103">
        <f>+F51+H51-G51</f>
        <v>284</v>
      </c>
      <c r="J51" s="186"/>
      <c r="K51" s="137"/>
      <c r="L51" s="144">
        <f>+SUM(L49:L50)</f>
        <v>5284</v>
      </c>
      <c r="M51" s="144">
        <f>+SUM(M49:M50)</f>
        <v>-3716</v>
      </c>
    </row>
    <row r="52" spans="1:13" x14ac:dyDescent="0.2">
      <c r="A52" s="41"/>
      <c r="B52" s="133"/>
      <c r="C52" s="133"/>
      <c r="D52" s="123"/>
      <c r="E52" s="133"/>
      <c r="F52" s="83"/>
      <c r="G52" s="182"/>
      <c r="H52" s="128"/>
      <c r="I52" s="101"/>
      <c r="J52" s="182"/>
      <c r="K52" s="86"/>
      <c r="L52" s="120"/>
      <c r="M52" s="120"/>
    </row>
    <row r="53" spans="1:13" x14ac:dyDescent="0.2">
      <c r="A53" s="124" t="s">
        <v>143</v>
      </c>
      <c r="B53" s="87">
        <f t="shared" ref="B53:I53" si="2">+B51+B46+B39</f>
        <v>52089</v>
      </c>
      <c r="C53" s="87">
        <f t="shared" si="2"/>
        <v>66375</v>
      </c>
      <c r="D53" s="125">
        <f>+D51+D46+D39</f>
        <v>39700</v>
      </c>
      <c r="E53" s="125">
        <f>+E51+E46+E39</f>
        <v>29528</v>
      </c>
      <c r="F53" s="87">
        <f t="shared" si="2"/>
        <v>30000</v>
      </c>
      <c r="G53" s="87">
        <f t="shared" si="2"/>
        <v>10297</v>
      </c>
      <c r="H53" s="187">
        <f t="shared" si="2"/>
        <v>18180</v>
      </c>
      <c r="I53" s="87">
        <f t="shared" si="2"/>
        <v>37883</v>
      </c>
      <c r="J53" s="187"/>
      <c r="K53" s="87"/>
      <c r="L53" s="141">
        <f>+L51+L46+L39</f>
        <v>42883</v>
      </c>
      <c r="M53" s="87">
        <f>+M51+M46+M39</f>
        <v>4012.4871794871797</v>
      </c>
    </row>
    <row r="54" spans="1:13" ht="13.5" thickBot="1" x14ac:dyDescent="0.25">
      <c r="A54" s="83"/>
      <c r="B54" s="139"/>
      <c r="C54" s="139"/>
      <c r="D54" s="121"/>
      <c r="E54" s="121"/>
      <c r="F54" s="120"/>
      <c r="G54" s="140"/>
      <c r="H54" s="86"/>
      <c r="I54" s="120"/>
      <c r="J54" s="86"/>
      <c r="K54" s="140"/>
      <c r="L54" s="86"/>
      <c r="M54" s="120"/>
    </row>
    <row r="55" spans="1:13" ht="13.5" thickBot="1" x14ac:dyDescent="0.25">
      <c r="A55" s="126" t="s">
        <v>144</v>
      </c>
      <c r="B55" s="138">
        <f t="shared" ref="B55:I55" si="3">+B53+B33</f>
        <v>314439</v>
      </c>
      <c r="C55" s="138">
        <f t="shared" si="3"/>
        <v>197512</v>
      </c>
      <c r="D55" s="138">
        <f>+D53+D33</f>
        <v>309100</v>
      </c>
      <c r="E55" s="138">
        <f>+E53+E33</f>
        <v>312214</v>
      </c>
      <c r="F55" s="142">
        <f t="shared" si="3"/>
        <v>232200</v>
      </c>
      <c r="G55" s="142">
        <f t="shared" si="3"/>
        <v>797008</v>
      </c>
      <c r="H55" s="188">
        <f t="shared" si="3"/>
        <v>168180</v>
      </c>
      <c r="I55" s="142">
        <f t="shared" si="3"/>
        <v>-396628</v>
      </c>
      <c r="J55" s="77"/>
      <c r="K55" s="138"/>
      <c r="L55" s="145">
        <f>+L53+L33</f>
        <v>285153</v>
      </c>
      <c r="M55" s="142">
        <f>+M53+M33</f>
        <v>-31011.129841789414</v>
      </c>
    </row>
    <row r="57" spans="1:13" x14ac:dyDescent="0.2">
      <c r="F57" t="s">
        <v>218</v>
      </c>
    </row>
    <row r="59" spans="1:13" x14ac:dyDescent="0.2">
      <c r="L59" s="149"/>
    </row>
    <row r="60" spans="1:13" x14ac:dyDescent="0.2">
      <c r="L60" s="19"/>
    </row>
    <row r="61" spans="1:13" x14ac:dyDescent="0.2">
      <c r="L61" s="19"/>
    </row>
  </sheetData>
  <phoneticPr fontId="9" type="noConversion"/>
  <printOptions horizontalCentered="1" gridLines="1"/>
  <pageMargins left="0.78740157480314965" right="0.78740157480314965" top="0.74803149606299213" bottom="0.6692913385826772" header="0.47244094488188981" footer="0.43307086614173229"/>
  <pageSetup paperSize="9" scale="61" orientation="landscape" r:id="rId1"/>
  <headerFooter alignWithMargins="0">
    <oddHeader>&amp;C&amp;"Times New Roman,Fet"&amp;14Långestrands samfällighetsförening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4"/>
  <sheetViews>
    <sheetView showGridLines="0" zoomScale="112" zoomScaleNormal="112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O2" sqref="O2"/>
    </sheetView>
  </sheetViews>
  <sheetFormatPr defaultColWidth="8.85546875" defaultRowHeight="12.75" x14ac:dyDescent="0.2"/>
  <cols>
    <col min="1" max="1" width="7.5703125" customWidth="1"/>
    <col min="2" max="2" width="15.28515625" customWidth="1"/>
    <col min="3" max="3" width="12.42578125" customWidth="1"/>
    <col min="4" max="4" width="7.7109375" customWidth="1"/>
    <col min="5" max="5" width="6.7109375" bestFit="1" customWidth="1"/>
    <col min="6" max="7" width="8.140625" customWidth="1"/>
    <col min="8" max="8" width="8.140625" style="62" customWidth="1"/>
    <col min="9" max="10" width="7.140625" customWidth="1"/>
    <col min="11" max="11" width="4.7109375" customWidth="1"/>
    <col min="12" max="12" width="7.85546875" style="20" customWidth="1"/>
    <col min="13" max="13" width="9.140625" style="20" customWidth="1"/>
    <col min="14" max="14" width="8.7109375" style="20" customWidth="1"/>
    <col min="15" max="16" width="8" style="20" customWidth="1"/>
    <col min="17" max="17" width="7.42578125" style="20" customWidth="1"/>
    <col min="18" max="18" width="8" customWidth="1"/>
    <col min="19" max="19" width="9.28515625" customWidth="1"/>
    <col min="20" max="20" width="7.42578125" customWidth="1"/>
    <col min="21" max="21" width="8.7109375" customWidth="1"/>
  </cols>
  <sheetData>
    <row r="1" spans="1:22" ht="18" x14ac:dyDescent="0.25">
      <c r="A1" s="14" t="s">
        <v>216</v>
      </c>
      <c r="L1" s="14"/>
      <c r="M1" s="50"/>
      <c r="N1" s="50"/>
      <c r="S1" s="66" t="s">
        <v>172</v>
      </c>
    </row>
    <row r="2" spans="1:22" ht="18" x14ac:dyDescent="0.25">
      <c r="M2" s="50"/>
      <c r="N2" s="50"/>
      <c r="T2" s="67"/>
      <c r="U2" s="36" t="s">
        <v>215</v>
      </c>
    </row>
    <row r="3" spans="1:22" ht="15.75" customHeight="1" x14ac:dyDescent="0.25">
      <c r="D3" s="189" t="s">
        <v>84</v>
      </c>
      <c r="E3" s="190"/>
      <c r="F3" s="190"/>
      <c r="G3" s="190"/>
      <c r="H3" s="190"/>
      <c r="I3" s="190"/>
      <c r="J3" s="190"/>
      <c r="K3" s="191"/>
      <c r="M3" s="50"/>
      <c r="N3" s="50"/>
      <c r="U3" s="36"/>
      <c r="V3" s="36"/>
    </row>
    <row r="4" spans="1:22" ht="13.5" thickBot="1" x14ac:dyDescent="0.25">
      <c r="D4" s="37">
        <f>+'Budget '!K11</f>
        <v>360</v>
      </c>
      <c r="E4" s="37">
        <f>+'Budget '!K19</f>
        <v>1694.4782608695652</v>
      </c>
      <c r="F4" s="166">
        <v>110</v>
      </c>
      <c r="G4" s="166">
        <v>110</v>
      </c>
      <c r="H4" s="166">
        <v>110</v>
      </c>
      <c r="I4" s="37">
        <f>+'Budget '!K39</f>
        <v>105.26315789473684</v>
      </c>
      <c r="J4" s="37">
        <f>+'Budget '!K46</f>
        <v>297.33628318584073</v>
      </c>
      <c r="K4" s="37">
        <f>'Budget '!K24</f>
        <v>153.40689655172415</v>
      </c>
    </row>
    <row r="5" spans="1:22" x14ac:dyDescent="0.2">
      <c r="A5" s="192" t="s">
        <v>154</v>
      </c>
      <c r="B5" s="193"/>
      <c r="C5" s="193"/>
      <c r="D5" s="61"/>
      <c r="E5" s="69"/>
      <c r="F5" s="195" t="s">
        <v>176</v>
      </c>
      <c r="G5" s="196"/>
      <c r="H5" s="197"/>
      <c r="I5" s="69"/>
      <c r="J5" s="69"/>
      <c r="K5" s="70"/>
      <c r="L5" s="192" t="s">
        <v>37</v>
      </c>
      <c r="M5" s="193"/>
      <c r="N5" s="193"/>
      <c r="O5" s="193"/>
      <c r="P5" s="193"/>
      <c r="Q5" s="194"/>
      <c r="R5" s="12" t="s">
        <v>33</v>
      </c>
      <c r="S5" s="12" t="s">
        <v>150</v>
      </c>
      <c r="T5" s="12" t="s">
        <v>131</v>
      </c>
      <c r="U5" s="12" t="s">
        <v>132</v>
      </c>
    </row>
    <row r="6" spans="1:22" x14ac:dyDescent="0.2">
      <c r="A6" s="29" t="s">
        <v>152</v>
      </c>
      <c r="B6" s="29" t="s">
        <v>38</v>
      </c>
      <c r="C6" s="29" t="s">
        <v>39</v>
      </c>
      <c r="D6" s="57" t="s">
        <v>160</v>
      </c>
      <c r="E6" s="30" t="s">
        <v>171</v>
      </c>
      <c r="F6" s="78" t="s">
        <v>174</v>
      </c>
      <c r="G6" s="30" t="s">
        <v>175</v>
      </c>
      <c r="H6" s="79" t="s">
        <v>173</v>
      </c>
      <c r="I6" s="30" t="s">
        <v>41</v>
      </c>
      <c r="J6" s="30" t="s">
        <v>188</v>
      </c>
      <c r="K6" s="31" t="s">
        <v>42</v>
      </c>
      <c r="L6" s="32" t="s">
        <v>40</v>
      </c>
      <c r="M6" s="33" t="s">
        <v>146</v>
      </c>
      <c r="N6" s="33" t="s">
        <v>43</v>
      </c>
      <c r="O6" s="33" t="s">
        <v>44</v>
      </c>
      <c r="P6" s="33" t="s">
        <v>182</v>
      </c>
      <c r="Q6" s="34" t="s">
        <v>45</v>
      </c>
      <c r="R6" s="35" t="s">
        <v>130</v>
      </c>
      <c r="S6" s="35" t="s">
        <v>151</v>
      </c>
      <c r="T6" s="35" t="s">
        <v>44</v>
      </c>
      <c r="U6" s="35" t="s">
        <v>153</v>
      </c>
    </row>
    <row r="7" spans="1:22" x14ac:dyDescent="0.2">
      <c r="A7" s="49" t="s">
        <v>46</v>
      </c>
      <c r="B7" s="18" t="s">
        <v>2</v>
      </c>
      <c r="C7" s="18" t="s">
        <v>3</v>
      </c>
      <c r="D7" s="1">
        <v>1</v>
      </c>
      <c r="E7" s="2">
        <v>1</v>
      </c>
      <c r="F7" s="154"/>
      <c r="G7" s="165"/>
      <c r="H7" s="150">
        <v>21</v>
      </c>
      <c r="I7" s="2">
        <v>1</v>
      </c>
      <c r="J7" s="2">
        <v>1</v>
      </c>
      <c r="K7" s="3">
        <v>3</v>
      </c>
      <c r="L7" s="21">
        <f t="shared" ref="L7:L38" si="0">D7*$D$4</f>
        <v>360</v>
      </c>
      <c r="M7" s="20">
        <f>E7*$E$4</f>
        <v>1694.4782608695652</v>
      </c>
      <c r="N7" s="68">
        <f t="shared" ref="N7:N56" si="1">+SUM(F7:H7)*$G$4</f>
        <v>2310</v>
      </c>
      <c r="O7" s="20">
        <f t="shared" ref="O7:O38" si="2">I7*$I$4</f>
        <v>105.26315789473684</v>
      </c>
      <c r="P7" s="20">
        <f>+J7*$J$4</f>
        <v>297.33628318584073</v>
      </c>
      <c r="Q7" s="22">
        <f t="shared" ref="Q7:Q38" si="3">K7*$K$4</f>
        <v>460.22068965517246</v>
      </c>
      <c r="R7" s="13"/>
      <c r="S7" s="10">
        <f>SUM(L7:R7)</f>
        <v>5227.2983916053145</v>
      </c>
      <c r="T7" s="10"/>
      <c r="U7" s="48">
        <f t="shared" ref="U7:U38" si="4">S7+T7</f>
        <v>5227.2983916053145</v>
      </c>
    </row>
    <row r="8" spans="1:22" x14ac:dyDescent="0.2">
      <c r="A8" s="49" t="s">
        <v>48</v>
      </c>
      <c r="B8" s="18" t="s">
        <v>36</v>
      </c>
      <c r="C8" s="18" t="s">
        <v>85</v>
      </c>
      <c r="D8" s="1">
        <v>1</v>
      </c>
      <c r="E8" s="2">
        <v>1</v>
      </c>
      <c r="F8" s="155">
        <v>27</v>
      </c>
      <c r="G8" s="165"/>
      <c r="H8" s="151"/>
      <c r="I8" s="2">
        <v>1</v>
      </c>
      <c r="J8" s="2">
        <v>1</v>
      </c>
      <c r="K8" s="3">
        <v>3</v>
      </c>
      <c r="L8" s="21">
        <f t="shared" si="0"/>
        <v>360</v>
      </c>
      <c r="M8" s="20">
        <f t="shared" ref="M8:M38" si="5">E8*$E$4</f>
        <v>1694.4782608695652</v>
      </c>
      <c r="N8" s="68">
        <f t="shared" si="1"/>
        <v>2970</v>
      </c>
      <c r="O8" s="20">
        <f t="shared" si="2"/>
        <v>105.26315789473684</v>
      </c>
      <c r="P8" s="20">
        <f t="shared" ref="P8:P58" si="6">+J8*$J$4</f>
        <v>297.33628318584073</v>
      </c>
      <c r="Q8" s="22">
        <f t="shared" si="3"/>
        <v>460.22068965517246</v>
      </c>
      <c r="R8" s="13"/>
      <c r="S8" s="10">
        <f t="shared" ref="S8:S58" si="7">SUM(L8:R8)</f>
        <v>5887.2983916053145</v>
      </c>
      <c r="T8" s="10"/>
      <c r="U8" s="48">
        <f t="shared" si="4"/>
        <v>5887.2983916053145</v>
      </c>
    </row>
    <row r="9" spans="1:22" x14ac:dyDescent="0.2">
      <c r="A9" s="49" t="s">
        <v>86</v>
      </c>
      <c r="B9" s="18" t="s">
        <v>87</v>
      </c>
      <c r="C9" s="18" t="s">
        <v>88</v>
      </c>
      <c r="D9" s="1">
        <v>1</v>
      </c>
      <c r="E9" s="2">
        <v>1</v>
      </c>
      <c r="F9" s="155">
        <v>27</v>
      </c>
      <c r="G9" s="165"/>
      <c r="H9" s="151"/>
      <c r="I9" s="2">
        <v>1</v>
      </c>
      <c r="J9" s="2">
        <v>1</v>
      </c>
      <c r="K9" s="3">
        <v>3</v>
      </c>
      <c r="L9" s="21">
        <f t="shared" si="0"/>
        <v>360</v>
      </c>
      <c r="M9" s="20">
        <f t="shared" si="5"/>
        <v>1694.4782608695652</v>
      </c>
      <c r="N9" s="68">
        <f t="shared" si="1"/>
        <v>2970</v>
      </c>
      <c r="O9" s="20">
        <f t="shared" si="2"/>
        <v>105.26315789473684</v>
      </c>
      <c r="P9" s="20">
        <f t="shared" si="6"/>
        <v>297.33628318584073</v>
      </c>
      <c r="Q9" s="22">
        <f t="shared" si="3"/>
        <v>460.22068965517246</v>
      </c>
      <c r="R9" s="13"/>
      <c r="S9" s="10">
        <f t="shared" si="7"/>
        <v>5887.2983916053145</v>
      </c>
      <c r="T9" s="10"/>
      <c r="U9" s="48">
        <f t="shared" si="4"/>
        <v>5887.2983916053145</v>
      </c>
    </row>
    <row r="10" spans="1:22" x14ac:dyDescent="0.2">
      <c r="A10" s="49" t="s">
        <v>89</v>
      </c>
      <c r="B10" s="11" t="s">
        <v>189</v>
      </c>
      <c r="C10" s="18" t="s">
        <v>90</v>
      </c>
      <c r="D10" s="1">
        <v>1</v>
      </c>
      <c r="E10" s="2">
        <v>1</v>
      </c>
      <c r="F10" s="155"/>
      <c r="G10" s="165">
        <v>26</v>
      </c>
      <c r="H10" s="152"/>
      <c r="I10" s="2">
        <v>1</v>
      </c>
      <c r="J10" s="2">
        <v>1</v>
      </c>
      <c r="K10" s="3">
        <v>3</v>
      </c>
      <c r="L10" s="21">
        <f t="shared" si="0"/>
        <v>360</v>
      </c>
      <c r="M10" s="20">
        <f t="shared" si="5"/>
        <v>1694.4782608695652</v>
      </c>
      <c r="N10" s="68">
        <f t="shared" si="1"/>
        <v>2860</v>
      </c>
      <c r="O10" s="20">
        <f t="shared" si="2"/>
        <v>105.26315789473684</v>
      </c>
      <c r="P10" s="20">
        <f t="shared" si="6"/>
        <v>297.33628318584073</v>
      </c>
      <c r="Q10" s="22">
        <f t="shared" si="3"/>
        <v>460.22068965517246</v>
      </c>
      <c r="R10" s="13"/>
      <c r="S10" s="10">
        <f t="shared" si="7"/>
        <v>5777.2983916053145</v>
      </c>
      <c r="T10" s="10"/>
      <c r="U10" s="48">
        <f t="shared" si="4"/>
        <v>5777.2983916053145</v>
      </c>
    </row>
    <row r="11" spans="1:22" x14ac:dyDescent="0.2">
      <c r="A11" s="49" t="s">
        <v>91</v>
      </c>
      <c r="B11" s="11" t="s">
        <v>190</v>
      </c>
      <c r="C11" s="11" t="s">
        <v>191</v>
      </c>
      <c r="D11" s="1">
        <v>1</v>
      </c>
      <c r="E11" s="2">
        <v>1</v>
      </c>
      <c r="F11" s="155"/>
      <c r="G11" s="165">
        <v>26</v>
      </c>
      <c r="H11" s="152"/>
      <c r="I11" s="2">
        <v>0</v>
      </c>
      <c r="J11" s="2">
        <v>1</v>
      </c>
      <c r="K11" s="3">
        <v>3</v>
      </c>
      <c r="L11" s="21">
        <f t="shared" si="0"/>
        <v>360</v>
      </c>
      <c r="M11" s="20">
        <f t="shared" si="5"/>
        <v>1694.4782608695652</v>
      </c>
      <c r="N11" s="68">
        <f t="shared" si="1"/>
        <v>2860</v>
      </c>
      <c r="O11" s="20">
        <f t="shared" si="2"/>
        <v>0</v>
      </c>
      <c r="P11" s="20">
        <f t="shared" si="6"/>
        <v>297.33628318584073</v>
      </c>
      <c r="Q11" s="22">
        <f t="shared" si="3"/>
        <v>460.22068965517246</v>
      </c>
      <c r="R11" s="13"/>
      <c r="S11" s="10">
        <f t="shared" si="7"/>
        <v>5672.0352337105778</v>
      </c>
      <c r="T11" s="10"/>
      <c r="U11" s="48">
        <f t="shared" si="4"/>
        <v>5672.0352337105778</v>
      </c>
    </row>
    <row r="12" spans="1:22" x14ac:dyDescent="0.2">
      <c r="A12" s="49" t="s">
        <v>92</v>
      </c>
      <c r="B12" s="18" t="s">
        <v>68</v>
      </c>
      <c r="C12" s="18" t="s">
        <v>93</v>
      </c>
      <c r="D12" s="1">
        <v>1</v>
      </c>
      <c r="E12" s="2">
        <v>1</v>
      </c>
      <c r="F12" s="155"/>
      <c r="G12" s="165"/>
      <c r="H12" s="150">
        <v>21</v>
      </c>
      <c r="I12" s="2">
        <v>0</v>
      </c>
      <c r="J12" s="2">
        <v>1</v>
      </c>
      <c r="K12" s="3">
        <v>3</v>
      </c>
      <c r="L12" s="21">
        <f t="shared" si="0"/>
        <v>360</v>
      </c>
      <c r="M12" s="20">
        <f t="shared" si="5"/>
        <v>1694.4782608695652</v>
      </c>
      <c r="N12" s="68">
        <f t="shared" si="1"/>
        <v>2310</v>
      </c>
      <c r="O12" s="20">
        <f t="shared" si="2"/>
        <v>0</v>
      </c>
      <c r="P12" s="20">
        <f t="shared" si="6"/>
        <v>297.33628318584073</v>
      </c>
      <c r="Q12" s="22">
        <f t="shared" si="3"/>
        <v>460.22068965517246</v>
      </c>
      <c r="R12" s="13"/>
      <c r="S12" s="10">
        <f t="shared" si="7"/>
        <v>5122.0352337105778</v>
      </c>
      <c r="T12" s="10"/>
      <c r="U12" s="48">
        <f t="shared" si="4"/>
        <v>5122.0352337105778</v>
      </c>
    </row>
    <row r="13" spans="1:22" x14ac:dyDescent="0.2">
      <c r="A13" s="49" t="s">
        <v>94</v>
      </c>
      <c r="B13" s="18" t="s">
        <v>69</v>
      </c>
      <c r="C13" s="18" t="s">
        <v>95</v>
      </c>
      <c r="D13" s="1">
        <v>1</v>
      </c>
      <c r="E13" s="2">
        <v>1</v>
      </c>
      <c r="F13" s="155"/>
      <c r="G13" s="165"/>
      <c r="H13" s="150">
        <v>21</v>
      </c>
      <c r="I13" s="2">
        <v>0</v>
      </c>
      <c r="J13" s="2">
        <v>1</v>
      </c>
      <c r="K13" s="3">
        <v>3</v>
      </c>
      <c r="L13" s="21">
        <f t="shared" si="0"/>
        <v>360</v>
      </c>
      <c r="M13" s="20">
        <f t="shared" si="5"/>
        <v>1694.4782608695652</v>
      </c>
      <c r="N13" s="68">
        <f t="shared" si="1"/>
        <v>2310</v>
      </c>
      <c r="O13" s="20">
        <f t="shared" si="2"/>
        <v>0</v>
      </c>
      <c r="P13" s="20">
        <f t="shared" si="6"/>
        <v>297.33628318584073</v>
      </c>
      <c r="Q13" s="22">
        <f t="shared" si="3"/>
        <v>460.22068965517246</v>
      </c>
      <c r="R13" s="13"/>
      <c r="S13" s="10">
        <f t="shared" si="7"/>
        <v>5122.0352337105778</v>
      </c>
      <c r="T13" s="10"/>
      <c r="U13" s="48">
        <f t="shared" si="4"/>
        <v>5122.0352337105778</v>
      </c>
    </row>
    <row r="14" spans="1:22" x14ac:dyDescent="0.2">
      <c r="A14" s="49" t="s">
        <v>96</v>
      </c>
      <c r="B14" s="18" t="s">
        <v>164</v>
      </c>
      <c r="C14" s="18" t="s">
        <v>70</v>
      </c>
      <c r="D14" s="1">
        <v>1</v>
      </c>
      <c r="E14" s="2">
        <v>1</v>
      </c>
      <c r="F14" s="155"/>
      <c r="G14" s="165"/>
      <c r="H14" s="150">
        <v>21</v>
      </c>
      <c r="I14" s="2">
        <v>1</v>
      </c>
      <c r="J14" s="2">
        <v>1</v>
      </c>
      <c r="K14" s="3">
        <v>3</v>
      </c>
      <c r="L14" s="21">
        <f t="shared" si="0"/>
        <v>360</v>
      </c>
      <c r="M14" s="20">
        <f t="shared" si="5"/>
        <v>1694.4782608695652</v>
      </c>
      <c r="N14" s="68">
        <f t="shared" si="1"/>
        <v>2310</v>
      </c>
      <c r="O14" s="20">
        <f t="shared" si="2"/>
        <v>105.26315789473684</v>
      </c>
      <c r="P14" s="20">
        <f t="shared" si="6"/>
        <v>297.33628318584073</v>
      </c>
      <c r="Q14" s="22">
        <f t="shared" si="3"/>
        <v>460.22068965517246</v>
      </c>
      <c r="R14" s="13"/>
      <c r="S14" s="10">
        <f t="shared" si="7"/>
        <v>5227.2983916053145</v>
      </c>
      <c r="T14" s="10"/>
      <c r="U14" s="48">
        <f t="shared" si="4"/>
        <v>5227.2983916053145</v>
      </c>
    </row>
    <row r="15" spans="1:22" x14ac:dyDescent="0.2">
      <c r="A15" s="49" t="s">
        <v>97</v>
      </c>
      <c r="B15" s="18" t="s">
        <v>75</v>
      </c>
      <c r="C15" s="18" t="s">
        <v>4</v>
      </c>
      <c r="D15" s="1">
        <v>1</v>
      </c>
      <c r="E15" s="2">
        <v>1</v>
      </c>
      <c r="F15" s="155"/>
      <c r="G15" s="165">
        <v>26</v>
      </c>
      <c r="H15" s="151"/>
      <c r="I15" s="2">
        <v>1</v>
      </c>
      <c r="J15" s="2">
        <v>1</v>
      </c>
      <c r="K15" s="3">
        <v>3</v>
      </c>
      <c r="L15" s="21">
        <f t="shared" si="0"/>
        <v>360</v>
      </c>
      <c r="M15" s="20">
        <f t="shared" si="5"/>
        <v>1694.4782608695652</v>
      </c>
      <c r="N15" s="68">
        <f t="shared" si="1"/>
        <v>2860</v>
      </c>
      <c r="O15" s="20">
        <f t="shared" si="2"/>
        <v>105.26315789473684</v>
      </c>
      <c r="P15" s="20">
        <f t="shared" si="6"/>
        <v>297.33628318584073</v>
      </c>
      <c r="Q15" s="22">
        <f t="shared" si="3"/>
        <v>460.22068965517246</v>
      </c>
      <c r="R15" s="13"/>
      <c r="S15" s="10">
        <f t="shared" si="7"/>
        <v>5777.2983916053145</v>
      </c>
      <c r="T15" s="10"/>
      <c r="U15" s="48">
        <f t="shared" si="4"/>
        <v>5777.2983916053145</v>
      </c>
    </row>
    <row r="16" spans="1:22" x14ac:dyDescent="0.2">
      <c r="A16" s="49" t="s">
        <v>98</v>
      </c>
      <c r="B16" s="11" t="s">
        <v>192</v>
      </c>
      <c r="C16" s="18" t="s">
        <v>72</v>
      </c>
      <c r="D16" s="1">
        <v>1</v>
      </c>
      <c r="E16" s="2">
        <v>1</v>
      </c>
      <c r="F16" s="155"/>
      <c r="G16" s="165"/>
      <c r="H16" s="150">
        <v>21</v>
      </c>
      <c r="I16" s="2">
        <v>0</v>
      </c>
      <c r="J16" s="2">
        <v>1</v>
      </c>
      <c r="K16" s="3">
        <v>3</v>
      </c>
      <c r="L16" s="21">
        <f t="shared" si="0"/>
        <v>360</v>
      </c>
      <c r="M16" s="20">
        <f t="shared" si="5"/>
        <v>1694.4782608695652</v>
      </c>
      <c r="N16" s="68">
        <f t="shared" si="1"/>
        <v>2310</v>
      </c>
      <c r="O16" s="20">
        <f t="shared" si="2"/>
        <v>0</v>
      </c>
      <c r="P16" s="20">
        <f t="shared" si="6"/>
        <v>297.33628318584073</v>
      </c>
      <c r="Q16" s="22">
        <f t="shared" si="3"/>
        <v>460.22068965517246</v>
      </c>
      <c r="R16" s="13"/>
      <c r="S16" s="10">
        <f t="shared" si="7"/>
        <v>5122.0352337105778</v>
      </c>
      <c r="T16" s="10"/>
      <c r="U16" s="48">
        <f t="shared" si="4"/>
        <v>5122.0352337105778</v>
      </c>
    </row>
    <row r="17" spans="1:21" x14ac:dyDescent="0.2">
      <c r="A17" s="49" t="s">
        <v>99</v>
      </c>
      <c r="B17" s="11" t="s">
        <v>27</v>
      </c>
      <c r="C17" s="18" t="s">
        <v>100</v>
      </c>
      <c r="D17" s="1">
        <v>1</v>
      </c>
      <c r="E17" s="2">
        <v>1</v>
      </c>
      <c r="F17" s="155"/>
      <c r="G17" s="165"/>
      <c r="H17" s="150">
        <v>21</v>
      </c>
      <c r="I17" s="2">
        <v>1</v>
      </c>
      <c r="J17" s="2">
        <v>1</v>
      </c>
      <c r="K17" s="3">
        <v>3</v>
      </c>
      <c r="L17" s="21">
        <f t="shared" si="0"/>
        <v>360</v>
      </c>
      <c r="M17" s="20">
        <f t="shared" si="5"/>
        <v>1694.4782608695652</v>
      </c>
      <c r="N17" s="68">
        <f t="shared" si="1"/>
        <v>2310</v>
      </c>
      <c r="O17" s="20">
        <f t="shared" si="2"/>
        <v>105.26315789473684</v>
      </c>
      <c r="P17" s="20">
        <f t="shared" si="6"/>
        <v>297.33628318584073</v>
      </c>
      <c r="Q17" s="22">
        <f t="shared" si="3"/>
        <v>460.22068965517246</v>
      </c>
      <c r="R17" s="13"/>
      <c r="S17" s="10">
        <f t="shared" si="7"/>
        <v>5227.2983916053145</v>
      </c>
      <c r="T17" s="10"/>
      <c r="U17" s="48">
        <f t="shared" si="4"/>
        <v>5227.2983916053145</v>
      </c>
    </row>
    <row r="18" spans="1:21" x14ac:dyDescent="0.2">
      <c r="A18" s="49" t="s">
        <v>101</v>
      </c>
      <c r="B18" s="11" t="s">
        <v>219</v>
      </c>
      <c r="C18" s="18" t="s">
        <v>5</v>
      </c>
      <c r="D18" s="1">
        <v>1</v>
      </c>
      <c r="E18" s="2">
        <v>1</v>
      </c>
      <c r="F18" s="155">
        <v>27</v>
      </c>
      <c r="G18" s="165"/>
      <c r="H18" s="152"/>
      <c r="I18" s="2">
        <v>1</v>
      </c>
      <c r="J18" s="2">
        <v>1</v>
      </c>
      <c r="K18" s="3">
        <v>3</v>
      </c>
      <c r="L18" s="21">
        <f t="shared" si="0"/>
        <v>360</v>
      </c>
      <c r="M18" s="20">
        <f t="shared" si="5"/>
        <v>1694.4782608695652</v>
      </c>
      <c r="N18" s="68">
        <f t="shared" si="1"/>
        <v>2970</v>
      </c>
      <c r="O18" s="20">
        <f t="shared" si="2"/>
        <v>105.26315789473684</v>
      </c>
      <c r="P18" s="20">
        <f t="shared" si="6"/>
        <v>297.33628318584073</v>
      </c>
      <c r="Q18" s="22">
        <f t="shared" si="3"/>
        <v>460.22068965517246</v>
      </c>
      <c r="R18" s="13"/>
      <c r="S18" s="10">
        <f t="shared" si="7"/>
        <v>5887.2983916053145</v>
      </c>
      <c r="T18" s="10"/>
      <c r="U18" s="48">
        <f t="shared" si="4"/>
        <v>5887.2983916053145</v>
      </c>
    </row>
    <row r="19" spans="1:21" x14ac:dyDescent="0.2">
      <c r="A19" s="49" t="s">
        <v>102</v>
      </c>
      <c r="B19" s="18" t="s">
        <v>103</v>
      </c>
      <c r="C19" s="18" t="s">
        <v>104</v>
      </c>
      <c r="D19" s="1">
        <v>1</v>
      </c>
      <c r="E19" s="2">
        <v>1</v>
      </c>
      <c r="F19" s="155"/>
      <c r="G19" s="165"/>
      <c r="H19" s="150">
        <v>21</v>
      </c>
      <c r="I19" s="2">
        <v>1</v>
      </c>
      <c r="J19" s="2">
        <v>1</v>
      </c>
      <c r="K19" s="3">
        <v>3</v>
      </c>
      <c r="L19" s="21">
        <f t="shared" si="0"/>
        <v>360</v>
      </c>
      <c r="M19" s="20">
        <f t="shared" si="5"/>
        <v>1694.4782608695652</v>
      </c>
      <c r="N19" s="68">
        <f t="shared" si="1"/>
        <v>2310</v>
      </c>
      <c r="O19" s="20">
        <f t="shared" si="2"/>
        <v>105.26315789473684</v>
      </c>
      <c r="P19" s="20">
        <f t="shared" si="6"/>
        <v>297.33628318584073</v>
      </c>
      <c r="Q19" s="22">
        <f t="shared" si="3"/>
        <v>460.22068965517246</v>
      </c>
      <c r="R19" s="13"/>
      <c r="S19" s="10">
        <f t="shared" si="7"/>
        <v>5227.2983916053145</v>
      </c>
      <c r="T19" s="10"/>
      <c r="U19" s="48">
        <f t="shared" si="4"/>
        <v>5227.2983916053145</v>
      </c>
    </row>
    <row r="20" spans="1:21" x14ac:dyDescent="0.2">
      <c r="A20" s="49" t="s">
        <v>105</v>
      </c>
      <c r="B20" s="11" t="s">
        <v>193</v>
      </c>
      <c r="C20" s="18" t="s">
        <v>73</v>
      </c>
      <c r="D20" s="1">
        <v>1</v>
      </c>
      <c r="E20" s="2">
        <v>1</v>
      </c>
      <c r="F20" s="155"/>
      <c r="G20" s="165"/>
      <c r="H20" s="150">
        <v>21</v>
      </c>
      <c r="I20" s="2">
        <v>0</v>
      </c>
      <c r="J20" s="2">
        <v>1</v>
      </c>
      <c r="K20" s="3">
        <v>3</v>
      </c>
      <c r="L20" s="21">
        <f t="shared" si="0"/>
        <v>360</v>
      </c>
      <c r="M20" s="20">
        <f t="shared" si="5"/>
        <v>1694.4782608695652</v>
      </c>
      <c r="N20" s="68">
        <f t="shared" si="1"/>
        <v>2310</v>
      </c>
      <c r="O20" s="20">
        <f t="shared" si="2"/>
        <v>0</v>
      </c>
      <c r="P20" s="20">
        <f t="shared" si="6"/>
        <v>297.33628318584073</v>
      </c>
      <c r="Q20" s="22">
        <f t="shared" si="3"/>
        <v>460.22068965517246</v>
      </c>
      <c r="R20" s="13"/>
      <c r="S20" s="10">
        <f t="shared" si="7"/>
        <v>5122.0352337105778</v>
      </c>
      <c r="T20" s="10"/>
      <c r="U20" s="48">
        <f t="shared" si="4"/>
        <v>5122.0352337105778</v>
      </c>
    </row>
    <row r="21" spans="1:21" x14ac:dyDescent="0.2">
      <c r="A21" s="164" t="s">
        <v>82</v>
      </c>
      <c r="B21" s="11" t="s">
        <v>194</v>
      </c>
      <c r="C21" s="11" t="s">
        <v>195</v>
      </c>
      <c r="D21" s="1">
        <v>1</v>
      </c>
      <c r="E21" s="2">
        <v>1</v>
      </c>
      <c r="F21" s="155"/>
      <c r="G21" s="165"/>
      <c r="H21" s="150">
        <v>21</v>
      </c>
      <c r="I21" s="2">
        <v>1</v>
      </c>
      <c r="J21" s="2">
        <v>1</v>
      </c>
      <c r="K21" s="3">
        <v>3</v>
      </c>
      <c r="L21" s="21">
        <f t="shared" si="0"/>
        <v>360</v>
      </c>
      <c r="M21" s="20">
        <f t="shared" si="5"/>
        <v>1694.4782608695652</v>
      </c>
      <c r="N21" s="68">
        <f t="shared" si="1"/>
        <v>2310</v>
      </c>
      <c r="O21" s="20">
        <f t="shared" si="2"/>
        <v>105.26315789473684</v>
      </c>
      <c r="P21" s="20">
        <f t="shared" si="6"/>
        <v>297.33628318584073</v>
      </c>
      <c r="Q21" s="22">
        <f t="shared" si="3"/>
        <v>460.22068965517246</v>
      </c>
      <c r="R21" s="13"/>
      <c r="S21" s="10">
        <f t="shared" si="7"/>
        <v>5227.2983916053145</v>
      </c>
      <c r="T21" s="10"/>
      <c r="U21" s="48">
        <f t="shared" si="4"/>
        <v>5227.2983916053145</v>
      </c>
    </row>
    <row r="22" spans="1:21" x14ac:dyDescent="0.2">
      <c r="A22" s="164" t="s">
        <v>204</v>
      </c>
      <c r="B22" s="11" t="s">
        <v>196</v>
      </c>
      <c r="C22" s="11" t="s">
        <v>197</v>
      </c>
      <c r="D22" s="1">
        <v>1</v>
      </c>
      <c r="E22" s="2">
        <v>0</v>
      </c>
      <c r="F22" s="155"/>
      <c r="G22" s="165"/>
      <c r="H22" s="150">
        <v>21</v>
      </c>
      <c r="I22" s="2">
        <v>0</v>
      </c>
      <c r="J22" s="2">
        <v>1</v>
      </c>
      <c r="K22" s="3">
        <v>3</v>
      </c>
      <c r="L22" s="21">
        <f t="shared" si="0"/>
        <v>360</v>
      </c>
      <c r="M22" s="20">
        <f t="shared" si="5"/>
        <v>0</v>
      </c>
      <c r="N22" s="68">
        <f t="shared" si="1"/>
        <v>2310</v>
      </c>
      <c r="O22" s="20">
        <f t="shared" si="2"/>
        <v>0</v>
      </c>
      <c r="P22" s="20">
        <f t="shared" si="6"/>
        <v>297.33628318584073</v>
      </c>
      <c r="Q22" s="22">
        <f t="shared" si="3"/>
        <v>460.22068965517246</v>
      </c>
      <c r="R22" s="13"/>
      <c r="S22" s="10">
        <f t="shared" si="7"/>
        <v>3427.5569728410132</v>
      </c>
      <c r="T22" s="10"/>
      <c r="U22" s="48">
        <f t="shared" si="4"/>
        <v>3427.5569728410132</v>
      </c>
    </row>
    <row r="23" spans="1:21" x14ac:dyDescent="0.2">
      <c r="A23" s="49" t="s">
        <v>83</v>
      </c>
      <c r="B23" s="11" t="s">
        <v>205</v>
      </c>
      <c r="C23" s="18" t="s">
        <v>106</v>
      </c>
      <c r="D23" s="1">
        <v>1</v>
      </c>
      <c r="E23" s="2">
        <v>1</v>
      </c>
      <c r="F23" s="155"/>
      <c r="G23" s="165"/>
      <c r="H23" s="150">
        <v>21</v>
      </c>
      <c r="I23" s="2">
        <v>1</v>
      </c>
      <c r="J23" s="2">
        <v>1</v>
      </c>
      <c r="K23" s="3">
        <v>3</v>
      </c>
      <c r="L23" s="21">
        <f t="shared" si="0"/>
        <v>360</v>
      </c>
      <c r="M23" s="20">
        <f t="shared" si="5"/>
        <v>1694.4782608695652</v>
      </c>
      <c r="N23" s="68">
        <f t="shared" si="1"/>
        <v>2310</v>
      </c>
      <c r="O23" s="20">
        <f t="shared" si="2"/>
        <v>105.26315789473684</v>
      </c>
      <c r="P23" s="20">
        <f t="shared" si="6"/>
        <v>297.33628318584073</v>
      </c>
      <c r="Q23" s="22">
        <f t="shared" si="3"/>
        <v>460.22068965517246</v>
      </c>
      <c r="R23" s="13"/>
      <c r="S23" s="10">
        <f t="shared" si="7"/>
        <v>5227.2983916053145</v>
      </c>
      <c r="T23" s="10"/>
      <c r="U23" s="48">
        <f t="shared" si="4"/>
        <v>5227.2983916053145</v>
      </c>
    </row>
    <row r="24" spans="1:21" x14ac:dyDescent="0.2">
      <c r="A24" s="49" t="s">
        <v>49</v>
      </c>
      <c r="B24" s="11" t="s">
        <v>198</v>
      </c>
      <c r="C24" s="11" t="s">
        <v>199</v>
      </c>
      <c r="D24" s="1">
        <v>1</v>
      </c>
      <c r="E24" s="2">
        <v>1</v>
      </c>
      <c r="F24" s="155"/>
      <c r="G24" s="165"/>
      <c r="H24" s="150">
        <v>21</v>
      </c>
      <c r="I24" s="2">
        <v>0</v>
      </c>
      <c r="J24" s="2">
        <v>1</v>
      </c>
      <c r="K24" s="3">
        <v>3</v>
      </c>
      <c r="L24" s="21">
        <f t="shared" si="0"/>
        <v>360</v>
      </c>
      <c r="M24" s="20">
        <f t="shared" si="5"/>
        <v>1694.4782608695652</v>
      </c>
      <c r="N24" s="68">
        <f t="shared" si="1"/>
        <v>2310</v>
      </c>
      <c r="O24" s="20">
        <f t="shared" si="2"/>
        <v>0</v>
      </c>
      <c r="P24" s="20">
        <f t="shared" si="6"/>
        <v>297.33628318584073</v>
      </c>
      <c r="Q24" s="22">
        <f t="shared" si="3"/>
        <v>460.22068965517246</v>
      </c>
      <c r="R24" s="13"/>
      <c r="S24" s="10">
        <f t="shared" si="7"/>
        <v>5122.0352337105778</v>
      </c>
      <c r="T24" s="10"/>
      <c r="U24" s="48">
        <f t="shared" si="4"/>
        <v>5122.0352337105778</v>
      </c>
    </row>
    <row r="25" spans="1:21" x14ac:dyDescent="0.2">
      <c r="A25" s="49" t="s">
        <v>50</v>
      </c>
      <c r="B25" s="11" t="s">
        <v>107</v>
      </c>
      <c r="C25" s="18" t="s">
        <v>108</v>
      </c>
      <c r="D25" s="1">
        <v>1</v>
      </c>
      <c r="E25" s="2">
        <v>1</v>
      </c>
      <c r="F25" s="155"/>
      <c r="G25" s="165"/>
      <c r="H25" s="150">
        <v>21</v>
      </c>
      <c r="I25" s="2">
        <v>1</v>
      </c>
      <c r="J25" s="2">
        <v>1</v>
      </c>
      <c r="K25" s="3">
        <v>3</v>
      </c>
      <c r="L25" s="21">
        <f t="shared" si="0"/>
        <v>360</v>
      </c>
      <c r="M25" s="20">
        <f t="shared" si="5"/>
        <v>1694.4782608695652</v>
      </c>
      <c r="N25" s="68">
        <f t="shared" si="1"/>
        <v>2310</v>
      </c>
      <c r="O25" s="20">
        <f t="shared" si="2"/>
        <v>105.26315789473684</v>
      </c>
      <c r="P25" s="20">
        <f t="shared" si="6"/>
        <v>297.33628318584073</v>
      </c>
      <c r="Q25" s="22">
        <f t="shared" si="3"/>
        <v>460.22068965517246</v>
      </c>
      <c r="R25" s="13"/>
      <c r="S25" s="10">
        <f t="shared" si="7"/>
        <v>5227.2983916053145</v>
      </c>
      <c r="T25" s="10"/>
      <c r="U25" s="48">
        <f t="shared" si="4"/>
        <v>5227.2983916053145</v>
      </c>
    </row>
    <row r="26" spans="1:21" x14ac:dyDescent="0.2">
      <c r="A26" s="49" t="s">
        <v>109</v>
      </c>
      <c r="B26" s="11" t="s">
        <v>206</v>
      </c>
      <c r="C26" s="11" t="s">
        <v>207</v>
      </c>
      <c r="D26" s="1">
        <v>1</v>
      </c>
      <c r="E26" s="2">
        <v>1</v>
      </c>
      <c r="F26" s="155">
        <v>27</v>
      </c>
      <c r="G26" s="165"/>
      <c r="H26" s="151"/>
      <c r="I26" s="2">
        <v>0</v>
      </c>
      <c r="J26" s="2">
        <v>1</v>
      </c>
      <c r="K26" s="3">
        <v>3</v>
      </c>
      <c r="L26" s="21">
        <f t="shared" si="0"/>
        <v>360</v>
      </c>
      <c r="M26" s="20">
        <f t="shared" si="5"/>
        <v>1694.4782608695652</v>
      </c>
      <c r="N26" s="68">
        <f t="shared" si="1"/>
        <v>2970</v>
      </c>
      <c r="O26" s="20">
        <f t="shared" si="2"/>
        <v>0</v>
      </c>
      <c r="P26" s="20">
        <f t="shared" si="6"/>
        <v>297.33628318584073</v>
      </c>
      <c r="Q26" s="22">
        <f t="shared" si="3"/>
        <v>460.22068965517246</v>
      </c>
      <c r="R26" s="13"/>
      <c r="S26" s="10">
        <f t="shared" si="7"/>
        <v>5782.0352337105778</v>
      </c>
      <c r="T26" s="10"/>
      <c r="U26" s="48">
        <f t="shared" si="4"/>
        <v>5782.0352337105778</v>
      </c>
    </row>
    <row r="27" spans="1:21" x14ac:dyDescent="0.2">
      <c r="A27" s="49" t="s">
        <v>111</v>
      </c>
      <c r="B27" s="18" t="s">
        <v>74</v>
      </c>
      <c r="C27" s="18" t="s">
        <v>110</v>
      </c>
      <c r="D27" s="1">
        <v>1</v>
      </c>
      <c r="E27" s="2">
        <v>1</v>
      </c>
      <c r="F27" s="155"/>
      <c r="G27" s="165"/>
      <c r="H27" s="150">
        <v>21</v>
      </c>
      <c r="I27" s="2">
        <v>0</v>
      </c>
      <c r="J27" s="2">
        <v>1</v>
      </c>
      <c r="K27" s="3">
        <v>3</v>
      </c>
      <c r="L27" s="21">
        <f t="shared" si="0"/>
        <v>360</v>
      </c>
      <c r="M27" s="20">
        <f t="shared" si="5"/>
        <v>1694.4782608695652</v>
      </c>
      <c r="N27" s="68">
        <f t="shared" si="1"/>
        <v>2310</v>
      </c>
      <c r="O27" s="20">
        <f t="shared" si="2"/>
        <v>0</v>
      </c>
      <c r="P27" s="20">
        <f t="shared" si="6"/>
        <v>297.33628318584073</v>
      </c>
      <c r="Q27" s="22">
        <f t="shared" si="3"/>
        <v>460.22068965517246</v>
      </c>
      <c r="R27" s="13"/>
      <c r="S27" s="10">
        <f t="shared" si="7"/>
        <v>5122.0352337105778</v>
      </c>
      <c r="T27" s="10"/>
      <c r="U27" s="48">
        <f t="shared" si="4"/>
        <v>5122.0352337105778</v>
      </c>
    </row>
    <row r="28" spans="1:21" x14ac:dyDescent="0.2">
      <c r="A28" s="49" t="s">
        <v>112</v>
      </c>
      <c r="B28" s="11" t="s">
        <v>217</v>
      </c>
      <c r="C28" s="11" t="s">
        <v>113</v>
      </c>
      <c r="D28" s="1">
        <v>1</v>
      </c>
      <c r="E28" s="2">
        <v>1</v>
      </c>
      <c r="F28" s="155"/>
      <c r="G28" s="165"/>
      <c r="H28" s="150">
        <v>21</v>
      </c>
      <c r="I28" s="2">
        <v>1</v>
      </c>
      <c r="J28" s="2">
        <v>1</v>
      </c>
      <c r="K28" s="3">
        <v>3</v>
      </c>
      <c r="L28" s="21">
        <f t="shared" si="0"/>
        <v>360</v>
      </c>
      <c r="M28" s="20">
        <f t="shared" si="5"/>
        <v>1694.4782608695652</v>
      </c>
      <c r="N28" s="68">
        <f t="shared" si="1"/>
        <v>2310</v>
      </c>
      <c r="O28" s="20">
        <f t="shared" si="2"/>
        <v>105.26315789473684</v>
      </c>
      <c r="P28" s="20">
        <f t="shared" si="6"/>
        <v>297.33628318584073</v>
      </c>
      <c r="Q28" s="22">
        <f>K28*$K$4</f>
        <v>460.22068965517246</v>
      </c>
      <c r="R28" s="27">
        <f>+'Budget '!K49</f>
        <v>185.1764705882353</v>
      </c>
      <c r="S28" s="10">
        <f t="shared" si="7"/>
        <v>5412.4748621935496</v>
      </c>
      <c r="T28" s="10"/>
      <c r="U28" s="48">
        <f t="shared" si="4"/>
        <v>5412.4748621935496</v>
      </c>
    </row>
    <row r="29" spans="1:21" x14ac:dyDescent="0.2">
      <c r="A29" s="49" t="s">
        <v>114</v>
      </c>
      <c r="B29" s="18" t="s">
        <v>133</v>
      </c>
      <c r="C29" s="18" t="s">
        <v>134</v>
      </c>
      <c r="D29" s="1">
        <v>1</v>
      </c>
      <c r="E29" s="2">
        <v>1</v>
      </c>
      <c r="F29" s="155">
        <v>27</v>
      </c>
      <c r="G29" s="165"/>
      <c r="H29" s="151"/>
      <c r="I29" s="2">
        <v>1</v>
      </c>
      <c r="J29" s="2">
        <v>1</v>
      </c>
      <c r="K29" s="3">
        <v>3</v>
      </c>
      <c r="L29" s="21">
        <f t="shared" si="0"/>
        <v>360</v>
      </c>
      <c r="M29" s="20">
        <f t="shared" si="5"/>
        <v>1694.4782608695652</v>
      </c>
      <c r="N29" s="68">
        <f t="shared" si="1"/>
        <v>2970</v>
      </c>
      <c r="O29" s="20">
        <f t="shared" si="2"/>
        <v>105.26315789473684</v>
      </c>
      <c r="P29" s="20">
        <f t="shared" si="6"/>
        <v>297.33628318584073</v>
      </c>
      <c r="Q29" s="22">
        <f t="shared" si="3"/>
        <v>460.22068965517246</v>
      </c>
      <c r="R29" s="27">
        <f>+'Budget '!K49</f>
        <v>185.1764705882353</v>
      </c>
      <c r="S29" s="10">
        <f t="shared" si="7"/>
        <v>6072.4748621935496</v>
      </c>
      <c r="T29" s="10"/>
      <c r="U29" s="48">
        <f t="shared" si="4"/>
        <v>6072.4748621935496</v>
      </c>
    </row>
    <row r="30" spans="1:21" x14ac:dyDescent="0.2">
      <c r="A30" s="49" t="s">
        <v>51</v>
      </c>
      <c r="B30" s="18" t="s">
        <v>115</v>
      </c>
      <c r="C30" s="18" t="s">
        <v>80</v>
      </c>
      <c r="D30" s="1">
        <v>1</v>
      </c>
      <c r="E30" s="2">
        <v>0</v>
      </c>
      <c r="F30" s="155"/>
      <c r="G30" s="165"/>
      <c r="H30" s="150">
        <v>21</v>
      </c>
      <c r="I30" s="2">
        <v>0</v>
      </c>
      <c r="J30" s="2">
        <v>0</v>
      </c>
      <c r="K30" s="3">
        <v>1</v>
      </c>
      <c r="L30" s="21">
        <f t="shared" si="0"/>
        <v>360</v>
      </c>
      <c r="M30" s="20">
        <f t="shared" si="5"/>
        <v>0</v>
      </c>
      <c r="N30" s="68">
        <f t="shared" si="1"/>
        <v>2310</v>
      </c>
      <c r="O30" s="20">
        <f t="shared" si="2"/>
        <v>0</v>
      </c>
      <c r="P30" s="20">
        <f t="shared" si="6"/>
        <v>0</v>
      </c>
      <c r="Q30" s="22">
        <f t="shared" si="3"/>
        <v>153.40689655172415</v>
      </c>
      <c r="R30" s="13"/>
      <c r="S30" s="10">
        <f t="shared" si="7"/>
        <v>2823.406896551724</v>
      </c>
      <c r="T30" s="10"/>
      <c r="U30" s="48">
        <f t="shared" si="4"/>
        <v>2823.406896551724</v>
      </c>
    </row>
    <row r="31" spans="1:21" x14ac:dyDescent="0.2">
      <c r="A31" s="49" t="s">
        <v>52</v>
      </c>
      <c r="B31" s="18" t="s">
        <v>115</v>
      </c>
      <c r="C31" s="18" t="s">
        <v>81</v>
      </c>
      <c r="D31" s="1">
        <v>1</v>
      </c>
      <c r="E31" s="2">
        <v>1</v>
      </c>
      <c r="F31" s="155"/>
      <c r="G31" s="165"/>
      <c r="H31" s="150">
        <v>21</v>
      </c>
      <c r="I31" s="2">
        <v>1</v>
      </c>
      <c r="J31" s="2">
        <v>1</v>
      </c>
      <c r="K31" s="3">
        <v>3</v>
      </c>
      <c r="L31" s="21">
        <f t="shared" si="0"/>
        <v>360</v>
      </c>
      <c r="M31" s="20">
        <f t="shared" si="5"/>
        <v>1694.4782608695652</v>
      </c>
      <c r="N31" s="68">
        <f t="shared" si="1"/>
        <v>2310</v>
      </c>
      <c r="O31" s="20">
        <f t="shared" si="2"/>
        <v>105.26315789473684</v>
      </c>
      <c r="P31" s="20">
        <f t="shared" si="6"/>
        <v>297.33628318584073</v>
      </c>
      <c r="Q31" s="22">
        <f t="shared" si="3"/>
        <v>460.22068965517246</v>
      </c>
      <c r="R31" s="27">
        <f>+'Budget '!K49</f>
        <v>185.1764705882353</v>
      </c>
      <c r="S31" s="10">
        <f t="shared" si="7"/>
        <v>5412.4748621935496</v>
      </c>
      <c r="T31" s="10"/>
      <c r="U31" s="48">
        <f t="shared" si="4"/>
        <v>5412.4748621935496</v>
      </c>
    </row>
    <row r="32" spans="1:21" x14ac:dyDescent="0.2">
      <c r="A32" s="49" t="s">
        <v>116</v>
      </c>
      <c r="B32" s="11" t="s">
        <v>208</v>
      </c>
      <c r="C32" s="18" t="s">
        <v>135</v>
      </c>
      <c r="D32" s="1">
        <v>1</v>
      </c>
      <c r="E32" s="2">
        <v>1</v>
      </c>
      <c r="F32" s="155"/>
      <c r="G32" s="165"/>
      <c r="H32" s="150">
        <v>21</v>
      </c>
      <c r="I32" s="2">
        <v>1</v>
      </c>
      <c r="J32" s="2">
        <v>1</v>
      </c>
      <c r="K32" s="3">
        <v>3</v>
      </c>
      <c r="L32" s="21">
        <f t="shared" si="0"/>
        <v>360</v>
      </c>
      <c r="M32" s="20">
        <f t="shared" si="5"/>
        <v>1694.4782608695652</v>
      </c>
      <c r="N32" s="68">
        <f t="shared" si="1"/>
        <v>2310</v>
      </c>
      <c r="O32" s="20">
        <f t="shared" si="2"/>
        <v>105.26315789473684</v>
      </c>
      <c r="P32" s="20">
        <f t="shared" si="6"/>
        <v>297.33628318584073</v>
      </c>
      <c r="Q32" s="22">
        <f t="shared" si="3"/>
        <v>460.22068965517246</v>
      </c>
      <c r="R32" s="27">
        <f>+'Budget '!K49</f>
        <v>185.1764705882353</v>
      </c>
      <c r="S32" s="10">
        <f t="shared" si="7"/>
        <v>5412.4748621935496</v>
      </c>
      <c r="T32" s="10"/>
      <c r="U32" s="48">
        <f t="shared" si="4"/>
        <v>5412.4748621935496</v>
      </c>
    </row>
    <row r="33" spans="1:21" x14ac:dyDescent="0.2">
      <c r="A33" s="49" t="s">
        <v>117</v>
      </c>
      <c r="B33" s="18" t="s">
        <v>71</v>
      </c>
      <c r="C33" s="18" t="s">
        <v>118</v>
      </c>
      <c r="D33" s="1">
        <v>1</v>
      </c>
      <c r="E33" s="2">
        <v>1</v>
      </c>
      <c r="F33" s="155">
        <v>27</v>
      </c>
      <c r="G33" s="165"/>
      <c r="H33" s="152"/>
      <c r="I33" s="2">
        <v>1</v>
      </c>
      <c r="J33" s="2">
        <v>1</v>
      </c>
      <c r="K33" s="3">
        <v>3</v>
      </c>
      <c r="L33" s="21">
        <f t="shared" si="0"/>
        <v>360</v>
      </c>
      <c r="M33" s="20">
        <f t="shared" si="5"/>
        <v>1694.4782608695652</v>
      </c>
      <c r="N33" s="68">
        <f t="shared" si="1"/>
        <v>2970</v>
      </c>
      <c r="O33" s="20">
        <f t="shared" si="2"/>
        <v>105.26315789473684</v>
      </c>
      <c r="P33" s="20">
        <f t="shared" si="6"/>
        <v>297.33628318584073</v>
      </c>
      <c r="Q33" s="22">
        <f t="shared" si="3"/>
        <v>460.22068965517246</v>
      </c>
      <c r="R33" s="27">
        <f>+'Budget '!K49</f>
        <v>185.1764705882353</v>
      </c>
      <c r="S33" s="10">
        <f t="shared" si="7"/>
        <v>6072.4748621935496</v>
      </c>
      <c r="T33" s="10"/>
      <c r="U33" s="48">
        <f t="shared" si="4"/>
        <v>6072.4748621935496</v>
      </c>
    </row>
    <row r="34" spans="1:21" x14ac:dyDescent="0.2">
      <c r="A34" s="49" t="s">
        <v>119</v>
      </c>
      <c r="B34" s="18" t="s">
        <v>34</v>
      </c>
      <c r="C34" s="18" t="s">
        <v>35</v>
      </c>
      <c r="D34" s="1">
        <v>1</v>
      </c>
      <c r="E34" s="2">
        <v>1</v>
      </c>
      <c r="F34" s="155"/>
      <c r="G34" s="165"/>
      <c r="H34" s="150">
        <v>21</v>
      </c>
      <c r="I34" s="2">
        <v>1</v>
      </c>
      <c r="J34" s="2">
        <v>1</v>
      </c>
      <c r="K34" s="3">
        <v>3</v>
      </c>
      <c r="L34" s="21">
        <f t="shared" si="0"/>
        <v>360</v>
      </c>
      <c r="M34" s="20">
        <f t="shared" si="5"/>
        <v>1694.4782608695652</v>
      </c>
      <c r="N34" s="68">
        <f t="shared" si="1"/>
        <v>2310</v>
      </c>
      <c r="O34" s="20">
        <f t="shared" si="2"/>
        <v>105.26315789473684</v>
      </c>
      <c r="P34" s="20">
        <f t="shared" si="6"/>
        <v>297.33628318584073</v>
      </c>
      <c r="Q34" s="22">
        <f t="shared" si="3"/>
        <v>460.22068965517246</v>
      </c>
      <c r="R34" s="27">
        <f>+'Budget '!K49</f>
        <v>185.1764705882353</v>
      </c>
      <c r="S34" s="10">
        <f t="shared" si="7"/>
        <v>5412.4748621935496</v>
      </c>
      <c r="T34" s="10"/>
      <c r="U34" s="48">
        <f t="shared" si="4"/>
        <v>5412.4748621935496</v>
      </c>
    </row>
    <row r="35" spans="1:21" x14ac:dyDescent="0.2">
      <c r="A35" s="49" t="s">
        <v>120</v>
      </c>
      <c r="B35" s="18" t="s">
        <v>87</v>
      </c>
      <c r="C35" s="18" t="s">
        <v>121</v>
      </c>
      <c r="D35" s="1">
        <v>1</v>
      </c>
      <c r="E35" s="2">
        <v>1</v>
      </c>
      <c r="F35" s="155"/>
      <c r="G35" s="165"/>
      <c r="H35" s="150">
        <v>21</v>
      </c>
      <c r="I35" s="2">
        <v>1</v>
      </c>
      <c r="J35" s="2">
        <v>1</v>
      </c>
      <c r="K35" s="3">
        <v>3</v>
      </c>
      <c r="L35" s="21">
        <f t="shared" si="0"/>
        <v>360</v>
      </c>
      <c r="M35" s="20">
        <f t="shared" si="5"/>
        <v>1694.4782608695652</v>
      </c>
      <c r="N35" s="68">
        <f t="shared" si="1"/>
        <v>2310</v>
      </c>
      <c r="O35" s="20">
        <f t="shared" si="2"/>
        <v>105.26315789473684</v>
      </c>
      <c r="P35" s="20">
        <f t="shared" si="6"/>
        <v>297.33628318584073</v>
      </c>
      <c r="Q35" s="22">
        <f t="shared" si="3"/>
        <v>460.22068965517246</v>
      </c>
      <c r="R35" s="27">
        <f>+'Budget '!K49</f>
        <v>185.1764705882353</v>
      </c>
      <c r="S35" s="10">
        <f t="shared" si="7"/>
        <v>5412.4748621935496</v>
      </c>
      <c r="T35" s="10"/>
      <c r="U35" s="48">
        <f t="shared" si="4"/>
        <v>5412.4748621935496</v>
      </c>
    </row>
    <row r="36" spans="1:21" x14ac:dyDescent="0.2">
      <c r="A36" s="49" t="s">
        <v>122</v>
      </c>
      <c r="B36" s="11" t="s">
        <v>220</v>
      </c>
      <c r="C36" s="18" t="s">
        <v>123</v>
      </c>
      <c r="D36" s="1">
        <v>1</v>
      </c>
      <c r="E36" s="2">
        <v>1</v>
      </c>
      <c r="F36" s="155"/>
      <c r="G36" s="165"/>
      <c r="H36" s="150">
        <v>21</v>
      </c>
      <c r="I36" s="2">
        <v>1</v>
      </c>
      <c r="J36" s="2">
        <v>1</v>
      </c>
      <c r="K36" s="3">
        <v>3</v>
      </c>
      <c r="L36" s="21">
        <f t="shared" si="0"/>
        <v>360</v>
      </c>
      <c r="M36" s="20">
        <f t="shared" si="5"/>
        <v>1694.4782608695652</v>
      </c>
      <c r="N36" s="68">
        <f t="shared" si="1"/>
        <v>2310</v>
      </c>
      <c r="O36" s="20">
        <f t="shared" si="2"/>
        <v>105.26315789473684</v>
      </c>
      <c r="P36" s="20">
        <f t="shared" si="6"/>
        <v>297.33628318584073</v>
      </c>
      <c r="Q36" s="22">
        <f t="shared" si="3"/>
        <v>460.22068965517246</v>
      </c>
      <c r="R36" s="27">
        <f>+'Budget '!K49</f>
        <v>185.1764705882353</v>
      </c>
      <c r="S36" s="10">
        <f t="shared" si="7"/>
        <v>5412.4748621935496</v>
      </c>
      <c r="T36" s="10"/>
      <c r="U36" s="48">
        <f t="shared" si="4"/>
        <v>5412.4748621935496</v>
      </c>
    </row>
    <row r="37" spans="1:21" x14ac:dyDescent="0.2">
      <c r="A37" s="49" t="s">
        <v>124</v>
      </c>
      <c r="B37" s="18" t="s">
        <v>136</v>
      </c>
      <c r="C37" s="18" t="s">
        <v>165</v>
      </c>
      <c r="D37" s="1">
        <v>1</v>
      </c>
      <c r="E37" s="2">
        <v>1</v>
      </c>
      <c r="F37" s="155"/>
      <c r="G37" s="165"/>
      <c r="H37" s="150">
        <v>21</v>
      </c>
      <c r="I37" s="2">
        <v>1</v>
      </c>
      <c r="J37" s="2">
        <v>1</v>
      </c>
      <c r="K37" s="3">
        <v>3</v>
      </c>
      <c r="L37" s="21">
        <f t="shared" si="0"/>
        <v>360</v>
      </c>
      <c r="M37" s="20">
        <f t="shared" si="5"/>
        <v>1694.4782608695652</v>
      </c>
      <c r="N37" s="68">
        <f t="shared" si="1"/>
        <v>2310</v>
      </c>
      <c r="O37" s="20">
        <f t="shared" si="2"/>
        <v>105.26315789473684</v>
      </c>
      <c r="P37" s="20">
        <f t="shared" si="6"/>
        <v>297.33628318584073</v>
      </c>
      <c r="Q37" s="22">
        <f t="shared" si="3"/>
        <v>460.22068965517246</v>
      </c>
      <c r="R37" s="27">
        <f>+'Budget '!K50</f>
        <v>534</v>
      </c>
      <c r="S37" s="10">
        <f t="shared" si="7"/>
        <v>5761.2983916053145</v>
      </c>
      <c r="T37" s="10"/>
      <c r="U37" s="48">
        <f t="shared" si="4"/>
        <v>5761.2983916053145</v>
      </c>
    </row>
    <row r="38" spans="1:21" x14ac:dyDescent="0.2">
      <c r="A38" s="49" t="s">
        <v>7</v>
      </c>
      <c r="B38" s="49" t="s">
        <v>43</v>
      </c>
      <c r="C38" s="49"/>
      <c r="D38" s="1">
        <v>0</v>
      </c>
      <c r="E38" s="2">
        <v>0</v>
      </c>
      <c r="F38" s="155"/>
      <c r="G38" s="165"/>
      <c r="H38" s="151"/>
      <c r="I38" s="2">
        <v>1</v>
      </c>
      <c r="J38" s="2">
        <v>0</v>
      </c>
      <c r="K38" s="3">
        <v>1</v>
      </c>
      <c r="L38" s="21">
        <f t="shared" si="0"/>
        <v>0</v>
      </c>
      <c r="M38" s="20">
        <f t="shared" si="5"/>
        <v>0</v>
      </c>
      <c r="N38" s="68">
        <f t="shared" si="1"/>
        <v>0</v>
      </c>
      <c r="O38" s="20">
        <f t="shared" si="2"/>
        <v>105.26315789473684</v>
      </c>
      <c r="P38" s="20">
        <f t="shared" si="6"/>
        <v>0</v>
      </c>
      <c r="Q38" s="22">
        <f t="shared" si="3"/>
        <v>153.40689655172415</v>
      </c>
      <c r="R38" s="13"/>
      <c r="S38" s="10">
        <f t="shared" si="7"/>
        <v>258.67005444646099</v>
      </c>
      <c r="T38" s="10"/>
      <c r="U38" s="48">
        <f t="shared" si="4"/>
        <v>258.67005444646099</v>
      </c>
    </row>
    <row r="39" spans="1:21" x14ac:dyDescent="0.2">
      <c r="A39" s="49" t="s">
        <v>8</v>
      </c>
      <c r="B39" s="11" t="s">
        <v>209</v>
      </c>
      <c r="C39" s="18" t="s">
        <v>9</v>
      </c>
      <c r="D39" s="1">
        <v>1</v>
      </c>
      <c r="E39" s="2">
        <v>1</v>
      </c>
      <c r="F39" s="155"/>
      <c r="G39" s="165"/>
      <c r="H39" s="150">
        <v>21</v>
      </c>
      <c r="I39" s="2">
        <v>1</v>
      </c>
      <c r="J39" s="2">
        <v>1</v>
      </c>
      <c r="K39" s="3">
        <v>3</v>
      </c>
      <c r="L39" s="21">
        <f t="shared" ref="L39:L57" si="8">D39*$D$4</f>
        <v>360</v>
      </c>
      <c r="M39" s="20">
        <f t="shared" ref="M39:M57" si="9">E39*$E$4</f>
        <v>1694.4782608695652</v>
      </c>
      <c r="N39" s="68">
        <f t="shared" si="1"/>
        <v>2310</v>
      </c>
      <c r="O39" s="20">
        <f t="shared" ref="O39:O57" si="10">I39*$I$4</f>
        <v>105.26315789473684</v>
      </c>
      <c r="P39" s="20">
        <f t="shared" si="6"/>
        <v>297.33628318584073</v>
      </c>
      <c r="Q39" s="22">
        <f t="shared" ref="Q39:Q57" si="11">K39*$K$4</f>
        <v>460.22068965517246</v>
      </c>
      <c r="R39" s="27">
        <f>+'Budget '!K49</f>
        <v>185.1764705882353</v>
      </c>
      <c r="S39" s="10">
        <f t="shared" si="7"/>
        <v>5412.4748621935496</v>
      </c>
      <c r="T39" s="10"/>
      <c r="U39" s="48">
        <f t="shared" ref="U39:U58" si="12">S39+T39</f>
        <v>5412.4748621935496</v>
      </c>
    </row>
    <row r="40" spans="1:21" x14ac:dyDescent="0.2">
      <c r="A40" s="49" t="s">
        <v>10</v>
      </c>
      <c r="B40" s="18" t="s">
        <v>67</v>
      </c>
      <c r="C40" s="18" t="s">
        <v>11</v>
      </c>
      <c r="D40" s="1">
        <v>1</v>
      </c>
      <c r="E40" s="2">
        <v>1</v>
      </c>
      <c r="F40" s="155"/>
      <c r="G40" s="165"/>
      <c r="H40" s="150">
        <v>21</v>
      </c>
      <c r="I40" s="2">
        <v>1</v>
      </c>
      <c r="J40" s="2">
        <v>1</v>
      </c>
      <c r="K40" s="3">
        <v>3</v>
      </c>
      <c r="L40" s="21">
        <f t="shared" si="8"/>
        <v>360</v>
      </c>
      <c r="M40" s="20">
        <f t="shared" si="9"/>
        <v>1694.4782608695652</v>
      </c>
      <c r="N40" s="68">
        <f t="shared" si="1"/>
        <v>2310</v>
      </c>
      <c r="O40" s="20">
        <f t="shared" si="10"/>
        <v>105.26315789473684</v>
      </c>
      <c r="P40" s="20">
        <f t="shared" si="6"/>
        <v>297.33628318584073</v>
      </c>
      <c r="Q40" s="22">
        <f t="shared" si="11"/>
        <v>460.22068965517246</v>
      </c>
      <c r="R40" s="27">
        <f>+'Budget '!K49</f>
        <v>185.1764705882353</v>
      </c>
      <c r="S40" s="10">
        <f t="shared" si="7"/>
        <v>5412.4748621935496</v>
      </c>
      <c r="T40" s="10"/>
      <c r="U40" s="48">
        <f t="shared" si="12"/>
        <v>5412.4748621935496</v>
      </c>
    </row>
    <row r="41" spans="1:21" x14ac:dyDescent="0.2">
      <c r="A41" s="49" t="s">
        <v>12</v>
      </c>
      <c r="B41" s="18" t="s">
        <v>125</v>
      </c>
      <c r="C41" s="18" t="s">
        <v>126</v>
      </c>
      <c r="D41" s="1">
        <v>1</v>
      </c>
      <c r="E41" s="2">
        <v>1</v>
      </c>
      <c r="F41" s="155"/>
      <c r="G41" s="165">
        <v>26</v>
      </c>
      <c r="H41" s="152"/>
      <c r="I41" s="2">
        <v>1</v>
      </c>
      <c r="J41" s="2">
        <v>1</v>
      </c>
      <c r="K41" s="3">
        <v>3</v>
      </c>
      <c r="L41" s="21">
        <f t="shared" si="8"/>
        <v>360</v>
      </c>
      <c r="M41" s="20">
        <f t="shared" si="9"/>
        <v>1694.4782608695652</v>
      </c>
      <c r="N41" s="68">
        <f t="shared" si="1"/>
        <v>2860</v>
      </c>
      <c r="O41" s="20">
        <f t="shared" si="10"/>
        <v>105.26315789473684</v>
      </c>
      <c r="P41" s="20">
        <f t="shared" si="6"/>
        <v>297.33628318584073</v>
      </c>
      <c r="Q41" s="22">
        <f t="shared" si="11"/>
        <v>460.22068965517246</v>
      </c>
      <c r="R41" s="27">
        <f>+'Budget '!K49</f>
        <v>185.1764705882353</v>
      </c>
      <c r="S41" s="10">
        <f t="shared" si="7"/>
        <v>5962.4748621935496</v>
      </c>
      <c r="T41" s="10"/>
      <c r="U41" s="48">
        <f t="shared" si="12"/>
        <v>5962.4748621935496</v>
      </c>
    </row>
    <row r="42" spans="1:21" x14ac:dyDescent="0.2">
      <c r="A42" s="49" t="s">
        <v>13</v>
      </c>
      <c r="B42" s="18" t="s">
        <v>127</v>
      </c>
      <c r="C42" s="18" t="s">
        <v>128</v>
      </c>
      <c r="D42" s="1">
        <v>1</v>
      </c>
      <c r="E42" s="2">
        <v>1</v>
      </c>
      <c r="F42" s="155"/>
      <c r="G42" s="165"/>
      <c r="H42" s="150">
        <v>21</v>
      </c>
      <c r="I42" s="2">
        <v>1</v>
      </c>
      <c r="J42" s="2">
        <v>1</v>
      </c>
      <c r="K42" s="3">
        <v>3</v>
      </c>
      <c r="L42" s="21">
        <f t="shared" si="8"/>
        <v>360</v>
      </c>
      <c r="M42" s="20">
        <f t="shared" si="9"/>
        <v>1694.4782608695652</v>
      </c>
      <c r="N42" s="68">
        <f t="shared" si="1"/>
        <v>2310</v>
      </c>
      <c r="O42" s="20">
        <f t="shared" si="10"/>
        <v>105.26315789473684</v>
      </c>
      <c r="P42" s="20">
        <f t="shared" si="6"/>
        <v>297.33628318584073</v>
      </c>
      <c r="Q42" s="22">
        <f t="shared" si="11"/>
        <v>460.22068965517246</v>
      </c>
      <c r="R42" s="27">
        <f>+'Budget '!K50</f>
        <v>534</v>
      </c>
      <c r="S42" s="10">
        <f t="shared" si="7"/>
        <v>5761.2983916053145</v>
      </c>
      <c r="T42" s="10"/>
      <c r="U42" s="48">
        <f t="shared" si="12"/>
        <v>5761.2983916053145</v>
      </c>
    </row>
    <row r="43" spans="1:21" x14ac:dyDescent="0.2">
      <c r="A43" s="49" t="s">
        <v>14</v>
      </c>
      <c r="B43" s="18" t="s">
        <v>136</v>
      </c>
      <c r="C43" s="18" t="s">
        <v>165</v>
      </c>
      <c r="D43" s="1">
        <v>1</v>
      </c>
      <c r="E43" s="2">
        <v>1</v>
      </c>
      <c r="F43" s="155"/>
      <c r="G43" s="165"/>
      <c r="H43" s="150">
        <v>21</v>
      </c>
      <c r="I43" s="2">
        <v>1</v>
      </c>
      <c r="J43" s="2">
        <v>1</v>
      </c>
      <c r="K43" s="3">
        <v>3</v>
      </c>
      <c r="L43" s="21">
        <f t="shared" si="8"/>
        <v>360</v>
      </c>
      <c r="M43" s="20">
        <f t="shared" si="9"/>
        <v>1694.4782608695652</v>
      </c>
      <c r="N43" s="68">
        <f t="shared" si="1"/>
        <v>2310</v>
      </c>
      <c r="O43" s="20">
        <f t="shared" si="10"/>
        <v>105.26315789473684</v>
      </c>
      <c r="P43" s="20">
        <f t="shared" si="6"/>
        <v>297.33628318584073</v>
      </c>
      <c r="Q43" s="22">
        <f t="shared" si="11"/>
        <v>460.22068965517246</v>
      </c>
      <c r="R43" s="27">
        <f>+'Budget '!K50</f>
        <v>534</v>
      </c>
      <c r="S43" s="10">
        <f t="shared" si="7"/>
        <v>5761.2983916053145</v>
      </c>
      <c r="T43" s="10"/>
      <c r="U43" s="48">
        <f t="shared" si="12"/>
        <v>5761.2983916053145</v>
      </c>
    </row>
    <row r="44" spans="1:21" x14ac:dyDescent="0.2">
      <c r="A44" s="49" t="s">
        <v>15</v>
      </c>
      <c r="B44" s="18" t="s">
        <v>115</v>
      </c>
      <c r="C44" s="18" t="s">
        <v>16</v>
      </c>
      <c r="D44" s="1">
        <v>1</v>
      </c>
      <c r="E44" s="2">
        <v>1</v>
      </c>
      <c r="F44" s="155"/>
      <c r="G44" s="165"/>
      <c r="H44" s="150">
        <v>21</v>
      </c>
      <c r="I44" s="2">
        <v>1</v>
      </c>
      <c r="J44" s="2">
        <v>1</v>
      </c>
      <c r="K44" s="3">
        <v>3</v>
      </c>
      <c r="L44" s="21">
        <f t="shared" si="8"/>
        <v>360</v>
      </c>
      <c r="M44" s="20">
        <f t="shared" si="9"/>
        <v>1694.4782608695652</v>
      </c>
      <c r="N44" s="68">
        <f t="shared" si="1"/>
        <v>2310</v>
      </c>
      <c r="O44" s="20">
        <f t="shared" si="10"/>
        <v>105.26315789473684</v>
      </c>
      <c r="P44" s="20">
        <f t="shared" si="6"/>
        <v>297.33628318584073</v>
      </c>
      <c r="Q44" s="22">
        <f t="shared" si="11"/>
        <v>460.22068965517246</v>
      </c>
      <c r="R44" s="27">
        <f>+'Budget '!K50</f>
        <v>534</v>
      </c>
      <c r="S44" s="10">
        <f t="shared" si="7"/>
        <v>5761.2983916053145</v>
      </c>
      <c r="T44" s="10"/>
      <c r="U44" s="48">
        <f t="shared" si="12"/>
        <v>5761.2983916053145</v>
      </c>
    </row>
    <row r="45" spans="1:21" x14ac:dyDescent="0.2">
      <c r="A45" s="49" t="s">
        <v>17</v>
      </c>
      <c r="B45" s="18" t="s">
        <v>136</v>
      </c>
      <c r="C45" s="18" t="s">
        <v>18</v>
      </c>
      <c r="D45" s="1">
        <v>1</v>
      </c>
      <c r="E45" s="2">
        <v>1</v>
      </c>
      <c r="F45" s="155"/>
      <c r="G45" s="165"/>
      <c r="H45" s="150">
        <v>21</v>
      </c>
      <c r="I45" s="2">
        <v>1</v>
      </c>
      <c r="J45" s="2">
        <v>1</v>
      </c>
      <c r="K45" s="3">
        <v>3</v>
      </c>
      <c r="L45" s="21">
        <f t="shared" si="8"/>
        <v>360</v>
      </c>
      <c r="M45" s="20">
        <f t="shared" si="9"/>
        <v>1694.4782608695652</v>
      </c>
      <c r="N45" s="68">
        <f t="shared" si="1"/>
        <v>2310</v>
      </c>
      <c r="O45" s="20">
        <f t="shared" si="10"/>
        <v>105.26315789473684</v>
      </c>
      <c r="P45" s="20">
        <f t="shared" si="6"/>
        <v>297.33628318584073</v>
      </c>
      <c r="Q45" s="22">
        <f t="shared" si="11"/>
        <v>460.22068965517246</v>
      </c>
      <c r="R45" s="27">
        <f>+'Budget '!K49</f>
        <v>185.1764705882353</v>
      </c>
      <c r="S45" s="10">
        <f t="shared" si="7"/>
        <v>5412.4748621935496</v>
      </c>
      <c r="T45" s="10"/>
      <c r="U45" s="48">
        <f t="shared" si="12"/>
        <v>5412.4748621935496</v>
      </c>
    </row>
    <row r="46" spans="1:21" x14ac:dyDescent="0.2">
      <c r="A46" s="49" t="s">
        <v>19</v>
      </c>
      <c r="B46" s="18" t="s">
        <v>75</v>
      </c>
      <c r="C46" s="18" t="s">
        <v>20</v>
      </c>
      <c r="D46" s="1">
        <v>1</v>
      </c>
      <c r="E46" s="2">
        <v>1</v>
      </c>
      <c r="F46" s="155"/>
      <c r="G46" s="165">
        <v>26</v>
      </c>
      <c r="H46" s="151"/>
      <c r="I46" s="2">
        <v>1</v>
      </c>
      <c r="J46" s="2">
        <v>1</v>
      </c>
      <c r="K46" s="3">
        <v>3</v>
      </c>
      <c r="L46" s="21">
        <f t="shared" si="8"/>
        <v>360</v>
      </c>
      <c r="M46" s="20">
        <f t="shared" si="9"/>
        <v>1694.4782608695652</v>
      </c>
      <c r="N46" s="68">
        <f t="shared" si="1"/>
        <v>2860</v>
      </c>
      <c r="O46" s="20">
        <f t="shared" si="10"/>
        <v>105.26315789473684</v>
      </c>
      <c r="P46" s="20">
        <f t="shared" si="6"/>
        <v>297.33628318584073</v>
      </c>
      <c r="Q46" s="22">
        <f t="shared" si="11"/>
        <v>460.22068965517246</v>
      </c>
      <c r="R46" s="13"/>
      <c r="S46" s="10">
        <f t="shared" si="7"/>
        <v>5777.2983916053145</v>
      </c>
      <c r="T46" s="10"/>
      <c r="U46" s="48">
        <f t="shared" si="12"/>
        <v>5777.2983916053145</v>
      </c>
    </row>
    <row r="47" spans="1:21" x14ac:dyDescent="0.2">
      <c r="A47" s="49" t="s">
        <v>21</v>
      </c>
      <c r="B47" s="18" t="s">
        <v>137</v>
      </c>
      <c r="C47" s="18" t="s">
        <v>22</v>
      </c>
      <c r="D47" s="1">
        <v>1</v>
      </c>
      <c r="E47" s="2">
        <v>1</v>
      </c>
      <c r="F47" s="155"/>
      <c r="G47" s="165"/>
      <c r="H47" s="150">
        <v>21</v>
      </c>
      <c r="I47" s="2">
        <v>1</v>
      </c>
      <c r="J47" s="2">
        <v>1</v>
      </c>
      <c r="K47" s="3">
        <v>3</v>
      </c>
      <c r="L47" s="21">
        <f t="shared" si="8"/>
        <v>360</v>
      </c>
      <c r="M47" s="20">
        <f t="shared" si="9"/>
        <v>1694.4782608695652</v>
      </c>
      <c r="N47" s="68">
        <f t="shared" si="1"/>
        <v>2310</v>
      </c>
      <c r="O47" s="20">
        <f t="shared" si="10"/>
        <v>105.26315789473684</v>
      </c>
      <c r="P47" s="20">
        <f t="shared" si="6"/>
        <v>297.33628318584073</v>
      </c>
      <c r="Q47" s="22">
        <f t="shared" si="11"/>
        <v>460.22068965517246</v>
      </c>
      <c r="R47" s="13"/>
      <c r="S47" s="10">
        <f t="shared" si="7"/>
        <v>5227.2983916053145</v>
      </c>
      <c r="T47" s="10"/>
      <c r="U47" s="48">
        <f t="shared" si="12"/>
        <v>5227.2983916053145</v>
      </c>
    </row>
    <row r="48" spans="1:21" x14ac:dyDescent="0.2">
      <c r="A48" s="49" t="s">
        <v>23</v>
      </c>
      <c r="B48" s="18" t="s">
        <v>76</v>
      </c>
      <c r="C48" s="18" t="s">
        <v>77</v>
      </c>
      <c r="D48" s="1">
        <v>1</v>
      </c>
      <c r="E48" s="2">
        <v>1</v>
      </c>
      <c r="F48" s="155"/>
      <c r="G48" s="165"/>
      <c r="H48" s="150">
        <v>21</v>
      </c>
      <c r="I48" s="2">
        <v>1</v>
      </c>
      <c r="J48" s="2">
        <v>1</v>
      </c>
      <c r="K48" s="3">
        <v>3</v>
      </c>
      <c r="L48" s="21">
        <f t="shared" si="8"/>
        <v>360</v>
      </c>
      <c r="M48" s="20">
        <f t="shared" si="9"/>
        <v>1694.4782608695652</v>
      </c>
      <c r="N48" s="68">
        <f t="shared" si="1"/>
        <v>2310</v>
      </c>
      <c r="O48" s="20">
        <f t="shared" si="10"/>
        <v>105.26315789473684</v>
      </c>
      <c r="P48" s="20">
        <f t="shared" si="6"/>
        <v>297.33628318584073</v>
      </c>
      <c r="Q48" s="22">
        <f t="shared" si="11"/>
        <v>460.22068965517246</v>
      </c>
      <c r="R48" s="13"/>
      <c r="S48" s="10">
        <f t="shared" si="7"/>
        <v>5227.2983916053145</v>
      </c>
      <c r="T48" s="10"/>
      <c r="U48" s="48">
        <f t="shared" si="12"/>
        <v>5227.2983916053145</v>
      </c>
    </row>
    <row r="49" spans="1:21" x14ac:dyDescent="0.2">
      <c r="A49" s="49" t="s">
        <v>24</v>
      </c>
      <c r="B49" s="18" t="s">
        <v>78</v>
      </c>
      <c r="C49" s="18" t="s">
        <v>85</v>
      </c>
      <c r="D49" s="1">
        <v>1</v>
      </c>
      <c r="E49" s="2">
        <v>1</v>
      </c>
      <c r="F49" s="155">
        <v>27</v>
      </c>
      <c r="G49" s="165"/>
      <c r="H49" s="152"/>
      <c r="I49" s="2">
        <v>1</v>
      </c>
      <c r="J49" s="2">
        <v>1</v>
      </c>
      <c r="K49" s="3">
        <v>3</v>
      </c>
      <c r="L49" s="21">
        <f t="shared" si="8"/>
        <v>360</v>
      </c>
      <c r="M49" s="20">
        <f t="shared" si="9"/>
        <v>1694.4782608695652</v>
      </c>
      <c r="N49" s="68">
        <f t="shared" si="1"/>
        <v>2970</v>
      </c>
      <c r="O49" s="20">
        <f t="shared" si="10"/>
        <v>105.26315789473684</v>
      </c>
      <c r="P49" s="20">
        <f t="shared" si="6"/>
        <v>297.33628318584073</v>
      </c>
      <c r="Q49" s="22">
        <f t="shared" si="11"/>
        <v>460.22068965517246</v>
      </c>
      <c r="R49" s="27">
        <f>+'Budget '!K49</f>
        <v>185.1764705882353</v>
      </c>
      <c r="S49" s="10">
        <f t="shared" si="7"/>
        <v>6072.4748621935496</v>
      </c>
      <c r="T49" s="10"/>
      <c r="U49" s="48">
        <f t="shared" si="12"/>
        <v>6072.4748621935496</v>
      </c>
    </row>
    <row r="50" spans="1:21" x14ac:dyDescent="0.2">
      <c r="A50" s="49" t="s">
        <v>25</v>
      </c>
      <c r="B50" s="11" t="s">
        <v>210</v>
      </c>
      <c r="C50" s="11" t="s">
        <v>211</v>
      </c>
      <c r="D50" s="1">
        <v>1</v>
      </c>
      <c r="E50" s="2">
        <v>1</v>
      </c>
      <c r="F50" s="155"/>
      <c r="G50" s="165"/>
      <c r="H50" s="150">
        <v>21</v>
      </c>
      <c r="I50" s="2">
        <v>1</v>
      </c>
      <c r="J50" s="2">
        <v>1</v>
      </c>
      <c r="K50" s="3">
        <v>3</v>
      </c>
      <c r="L50" s="21">
        <f t="shared" si="8"/>
        <v>360</v>
      </c>
      <c r="M50" s="20">
        <f t="shared" si="9"/>
        <v>1694.4782608695652</v>
      </c>
      <c r="N50" s="68">
        <f t="shared" si="1"/>
        <v>2310</v>
      </c>
      <c r="O50" s="20">
        <f t="shared" si="10"/>
        <v>105.26315789473684</v>
      </c>
      <c r="P50" s="20">
        <f t="shared" si="6"/>
        <v>297.33628318584073</v>
      </c>
      <c r="Q50" s="22">
        <f t="shared" si="11"/>
        <v>460.22068965517246</v>
      </c>
      <c r="R50" s="27">
        <f>+'Budget '!K49</f>
        <v>185.1764705882353</v>
      </c>
      <c r="S50" s="10">
        <f t="shared" si="7"/>
        <v>5412.4748621935496</v>
      </c>
      <c r="T50" s="10"/>
      <c r="U50" s="48">
        <f t="shared" si="12"/>
        <v>5412.4748621935496</v>
      </c>
    </row>
    <row r="51" spans="1:21" x14ac:dyDescent="0.2">
      <c r="A51" s="49" t="s">
        <v>53</v>
      </c>
      <c r="B51" s="11" t="s">
        <v>205</v>
      </c>
      <c r="C51" s="18" t="s">
        <v>106</v>
      </c>
      <c r="D51" s="1">
        <v>1</v>
      </c>
      <c r="E51" s="2">
        <v>0</v>
      </c>
      <c r="F51" s="155"/>
      <c r="G51" s="165"/>
      <c r="H51" s="150">
        <v>21</v>
      </c>
      <c r="I51" s="2">
        <v>0</v>
      </c>
      <c r="J51" s="2">
        <v>0</v>
      </c>
      <c r="K51" s="3">
        <v>1</v>
      </c>
      <c r="L51" s="21">
        <f t="shared" si="8"/>
        <v>360</v>
      </c>
      <c r="M51" s="20">
        <f t="shared" si="9"/>
        <v>0</v>
      </c>
      <c r="N51" s="68">
        <f t="shared" si="1"/>
        <v>2310</v>
      </c>
      <c r="O51" s="20">
        <f t="shared" si="10"/>
        <v>0</v>
      </c>
      <c r="P51" s="20">
        <f t="shared" si="6"/>
        <v>0</v>
      </c>
      <c r="Q51" s="22">
        <f t="shared" si="11"/>
        <v>153.40689655172415</v>
      </c>
      <c r="R51" s="13"/>
      <c r="S51" s="10">
        <f t="shared" si="7"/>
        <v>2823.406896551724</v>
      </c>
      <c r="T51" s="10"/>
      <c r="U51" s="48">
        <f t="shared" si="12"/>
        <v>2823.406896551724</v>
      </c>
    </row>
    <row r="52" spans="1:21" x14ac:dyDescent="0.2">
      <c r="A52" s="49" t="s">
        <v>54</v>
      </c>
      <c r="B52" s="18" t="s">
        <v>27</v>
      </c>
      <c r="C52" s="18" t="s">
        <v>100</v>
      </c>
      <c r="D52" s="1">
        <v>1</v>
      </c>
      <c r="E52" s="2">
        <v>1</v>
      </c>
      <c r="F52" s="155"/>
      <c r="G52" s="165">
        <v>26</v>
      </c>
      <c r="H52" s="152"/>
      <c r="I52" s="2">
        <v>1</v>
      </c>
      <c r="J52" s="2">
        <v>1</v>
      </c>
      <c r="K52" s="3">
        <v>3</v>
      </c>
      <c r="L52" s="21">
        <f t="shared" si="8"/>
        <v>360</v>
      </c>
      <c r="M52" s="20">
        <f t="shared" si="9"/>
        <v>1694.4782608695652</v>
      </c>
      <c r="N52" s="68">
        <f t="shared" si="1"/>
        <v>2860</v>
      </c>
      <c r="O52" s="20">
        <f t="shared" si="10"/>
        <v>105.26315789473684</v>
      </c>
      <c r="P52" s="20">
        <f t="shared" si="6"/>
        <v>297.33628318584073</v>
      </c>
      <c r="Q52" s="22">
        <f t="shared" si="11"/>
        <v>460.22068965517246</v>
      </c>
      <c r="R52" s="27">
        <f>+'Budget '!K49</f>
        <v>185.1764705882353</v>
      </c>
      <c r="S52" s="10">
        <f t="shared" si="7"/>
        <v>5962.4748621935496</v>
      </c>
      <c r="T52" s="10"/>
      <c r="U52" s="48">
        <f t="shared" si="12"/>
        <v>5962.4748621935496</v>
      </c>
    </row>
    <row r="53" spans="1:21" x14ac:dyDescent="0.2">
      <c r="A53" s="49" t="s">
        <v>26</v>
      </c>
      <c r="B53" s="11" t="s">
        <v>213</v>
      </c>
      <c r="C53" s="11" t="s">
        <v>212</v>
      </c>
      <c r="D53" s="1">
        <v>1</v>
      </c>
      <c r="E53" s="2">
        <v>1</v>
      </c>
      <c r="F53" s="155"/>
      <c r="G53" s="165"/>
      <c r="H53" s="150">
        <v>21</v>
      </c>
      <c r="I53" s="2">
        <v>1</v>
      </c>
      <c r="J53" s="2">
        <v>1</v>
      </c>
      <c r="K53" s="3">
        <v>3</v>
      </c>
      <c r="L53" s="21">
        <f t="shared" si="8"/>
        <v>360</v>
      </c>
      <c r="M53" s="20">
        <f t="shared" si="9"/>
        <v>1694.4782608695652</v>
      </c>
      <c r="N53" s="68">
        <f t="shared" si="1"/>
        <v>2310</v>
      </c>
      <c r="O53" s="20">
        <f t="shared" si="10"/>
        <v>105.26315789473684</v>
      </c>
      <c r="P53" s="20">
        <f t="shared" si="6"/>
        <v>297.33628318584073</v>
      </c>
      <c r="Q53" s="22">
        <f t="shared" si="11"/>
        <v>460.22068965517246</v>
      </c>
      <c r="R53" s="27">
        <f>+'Budget '!K49</f>
        <v>185.1764705882353</v>
      </c>
      <c r="S53" s="10">
        <f t="shared" si="7"/>
        <v>5412.4748621935496</v>
      </c>
      <c r="T53" s="10"/>
      <c r="U53" s="48">
        <f t="shared" si="12"/>
        <v>5412.4748621935496</v>
      </c>
    </row>
    <row r="54" spans="1:21" x14ac:dyDescent="0.2">
      <c r="A54" s="49" t="s">
        <v>55</v>
      </c>
      <c r="B54" s="18" t="s">
        <v>79</v>
      </c>
      <c r="C54" s="18" t="s">
        <v>100</v>
      </c>
      <c r="D54" s="1">
        <v>1</v>
      </c>
      <c r="E54" s="2">
        <v>0</v>
      </c>
      <c r="F54" s="155"/>
      <c r="G54" s="165"/>
      <c r="H54" s="150">
        <v>21</v>
      </c>
      <c r="I54" s="2">
        <v>0</v>
      </c>
      <c r="J54" s="2">
        <v>0</v>
      </c>
      <c r="K54" s="3">
        <v>1</v>
      </c>
      <c r="L54" s="21">
        <f t="shared" si="8"/>
        <v>360</v>
      </c>
      <c r="M54" s="20">
        <f t="shared" si="9"/>
        <v>0</v>
      </c>
      <c r="N54" s="68">
        <f t="shared" si="1"/>
        <v>2310</v>
      </c>
      <c r="O54" s="20">
        <f t="shared" si="10"/>
        <v>0</v>
      </c>
      <c r="P54" s="20">
        <f t="shared" si="6"/>
        <v>0</v>
      </c>
      <c r="Q54" s="22">
        <f t="shared" si="11"/>
        <v>153.40689655172415</v>
      </c>
      <c r="R54" s="13"/>
      <c r="S54" s="10">
        <f t="shared" si="7"/>
        <v>2823.406896551724</v>
      </c>
      <c r="T54" s="10"/>
      <c r="U54" s="48">
        <f t="shared" si="12"/>
        <v>2823.406896551724</v>
      </c>
    </row>
    <row r="55" spans="1:21" x14ac:dyDescent="0.2">
      <c r="A55" s="49" t="s">
        <v>28</v>
      </c>
      <c r="B55" s="11" t="s">
        <v>214</v>
      </c>
      <c r="C55" s="18" t="s">
        <v>168</v>
      </c>
      <c r="D55" s="1">
        <v>1</v>
      </c>
      <c r="E55" s="2">
        <v>1</v>
      </c>
      <c r="F55" s="155">
        <v>27</v>
      </c>
      <c r="G55" s="165"/>
      <c r="H55" s="152"/>
      <c r="I55" s="2">
        <v>1</v>
      </c>
      <c r="J55" s="2">
        <v>1</v>
      </c>
      <c r="K55" s="3">
        <v>3</v>
      </c>
      <c r="L55" s="21">
        <f t="shared" si="8"/>
        <v>360</v>
      </c>
      <c r="M55" s="20">
        <f t="shared" si="9"/>
        <v>1694.4782608695652</v>
      </c>
      <c r="N55" s="68">
        <f t="shared" si="1"/>
        <v>2970</v>
      </c>
      <c r="O55" s="20">
        <f t="shared" si="10"/>
        <v>105.26315789473684</v>
      </c>
      <c r="P55" s="20">
        <f t="shared" si="6"/>
        <v>297.33628318584073</v>
      </c>
      <c r="Q55" s="22">
        <f t="shared" si="11"/>
        <v>460.22068965517246</v>
      </c>
      <c r="R55" s="27">
        <f>+'Budget '!K49</f>
        <v>185.1764705882353</v>
      </c>
      <c r="S55" s="10">
        <f t="shared" si="7"/>
        <v>6072.4748621935496</v>
      </c>
      <c r="T55" s="10"/>
      <c r="U55" s="48">
        <f t="shared" si="12"/>
        <v>6072.4748621935496</v>
      </c>
    </row>
    <row r="56" spans="1:21" x14ac:dyDescent="0.2">
      <c r="A56" s="49" t="s">
        <v>29</v>
      </c>
      <c r="B56" s="18" t="s">
        <v>166</v>
      </c>
      <c r="C56" s="18" t="s">
        <v>167</v>
      </c>
      <c r="D56" s="1">
        <v>1</v>
      </c>
      <c r="E56" s="2">
        <v>1</v>
      </c>
      <c r="F56" s="155"/>
      <c r="G56" s="165"/>
      <c r="H56" s="150">
        <v>21</v>
      </c>
      <c r="I56" s="2">
        <v>1</v>
      </c>
      <c r="J56" s="2">
        <v>1</v>
      </c>
      <c r="K56" s="3">
        <v>3</v>
      </c>
      <c r="L56" s="21">
        <f t="shared" si="8"/>
        <v>360</v>
      </c>
      <c r="M56" s="20">
        <f t="shared" si="9"/>
        <v>1694.4782608695652</v>
      </c>
      <c r="N56" s="68">
        <f t="shared" si="1"/>
        <v>2310</v>
      </c>
      <c r="O56" s="20">
        <f t="shared" si="10"/>
        <v>105.26315789473684</v>
      </c>
      <c r="P56" s="20">
        <f t="shared" si="6"/>
        <v>297.33628318584073</v>
      </c>
      <c r="Q56" s="22">
        <f t="shared" si="11"/>
        <v>460.22068965517246</v>
      </c>
      <c r="R56" s="13"/>
      <c r="S56" s="10">
        <f t="shared" si="7"/>
        <v>5227.2983916053145</v>
      </c>
      <c r="T56" s="10"/>
      <c r="U56" s="48">
        <f t="shared" si="12"/>
        <v>5227.2983916053145</v>
      </c>
    </row>
    <row r="57" spans="1:21" x14ac:dyDescent="0.2">
      <c r="A57" s="49" t="s">
        <v>30</v>
      </c>
      <c r="B57" s="18" t="s">
        <v>47</v>
      </c>
      <c r="C57" s="18" t="s">
        <v>31</v>
      </c>
      <c r="D57" s="1">
        <v>1</v>
      </c>
      <c r="E57" s="2">
        <v>1</v>
      </c>
      <c r="F57" s="155"/>
      <c r="G57" s="165"/>
      <c r="H57" s="150">
        <v>21</v>
      </c>
      <c r="I57" s="2">
        <v>0</v>
      </c>
      <c r="J57" s="2">
        <v>1</v>
      </c>
      <c r="K57" s="3">
        <v>3</v>
      </c>
      <c r="L57" s="21">
        <f t="shared" si="8"/>
        <v>360</v>
      </c>
      <c r="M57" s="20">
        <f t="shared" si="9"/>
        <v>1694.4782608695652</v>
      </c>
      <c r="N57" s="68">
        <f t="shared" ref="N57" si="13">+SUM(F57:H57)*$G$4</f>
        <v>2310</v>
      </c>
      <c r="O57" s="20">
        <f t="shared" si="10"/>
        <v>0</v>
      </c>
      <c r="P57" s="20">
        <f t="shared" si="6"/>
        <v>297.33628318584073</v>
      </c>
      <c r="Q57" s="22">
        <f t="shared" si="11"/>
        <v>460.22068965517246</v>
      </c>
      <c r="R57" s="13"/>
      <c r="S57" s="10">
        <f t="shared" si="7"/>
        <v>5122.0352337105778</v>
      </c>
      <c r="T57" s="10"/>
      <c r="U57" s="48">
        <f t="shared" si="12"/>
        <v>5122.0352337105778</v>
      </c>
    </row>
    <row r="58" spans="1:21" ht="13.5" thickBot="1" x14ac:dyDescent="0.25">
      <c r="A58" s="49"/>
      <c r="B58" s="148" t="s">
        <v>200</v>
      </c>
      <c r="C58" s="71"/>
      <c r="D58" s="4"/>
      <c r="E58" s="5"/>
      <c r="F58" s="156"/>
      <c r="G58" s="5"/>
      <c r="H58" s="153"/>
      <c r="I58" s="5"/>
      <c r="J58" s="2">
        <v>66</v>
      </c>
      <c r="K58" s="6"/>
      <c r="L58" s="23"/>
      <c r="M58" s="24"/>
      <c r="N58" s="72"/>
      <c r="O58" s="24"/>
      <c r="P58" s="20">
        <f t="shared" si="6"/>
        <v>19624.194690265489</v>
      </c>
      <c r="Q58" s="25"/>
      <c r="R58" s="13"/>
      <c r="S58" s="10">
        <f t="shared" si="7"/>
        <v>19624.194690265489</v>
      </c>
      <c r="T58" s="10"/>
      <c r="U58" s="48">
        <f t="shared" si="12"/>
        <v>19624.194690265489</v>
      </c>
    </row>
    <row r="59" spans="1:21" ht="13.5" thickBot="1" x14ac:dyDescent="0.25">
      <c r="A59" s="7" t="s">
        <v>32</v>
      </c>
      <c r="B59" s="8"/>
      <c r="C59" s="9"/>
      <c r="D59" s="73">
        <f t="shared" ref="D59:T59" si="14">SUM(D7:D57)</f>
        <v>50</v>
      </c>
      <c r="E59" s="74">
        <f t="shared" si="14"/>
        <v>46</v>
      </c>
      <c r="F59" s="74">
        <f t="shared" si="14"/>
        <v>216</v>
      </c>
      <c r="G59" s="74">
        <f t="shared" si="14"/>
        <v>156</v>
      </c>
      <c r="H59" s="74">
        <f t="shared" si="14"/>
        <v>756</v>
      </c>
      <c r="I59" s="74">
        <f>SUM(I7:I58)</f>
        <v>38</v>
      </c>
      <c r="J59" s="74">
        <f>SUM(J7:J58)</f>
        <v>113</v>
      </c>
      <c r="K59" s="75">
        <f>SUM(K7:K58)</f>
        <v>145</v>
      </c>
      <c r="L59" s="76">
        <f t="shared" si="14"/>
        <v>18000</v>
      </c>
      <c r="M59" s="77">
        <f t="shared" si="14"/>
        <v>77946.000000000058</v>
      </c>
      <c r="N59" s="77">
        <f t="shared" si="14"/>
        <v>124080</v>
      </c>
      <c r="O59" s="77">
        <f>SUM(O7:O58)</f>
        <v>3999.9999999999968</v>
      </c>
      <c r="P59" s="77">
        <f>SUM(P7:P58)</f>
        <v>33599.000000000007</v>
      </c>
      <c r="Q59" s="77">
        <f>SUM(Q7:Q58)</f>
        <v>22244.000000000004</v>
      </c>
      <c r="R59" s="28">
        <f>SUM(R7:R58)</f>
        <v>5283.9999999999991</v>
      </c>
      <c r="S59" s="28">
        <f>SUM(S7:S58)</f>
        <v>285152.99999999988</v>
      </c>
      <c r="T59" s="28">
        <f t="shared" si="14"/>
        <v>0</v>
      </c>
      <c r="U59" s="47">
        <f>SUM(U7:U58)</f>
        <v>285152.99999999988</v>
      </c>
    </row>
    <row r="60" spans="1:21" x14ac:dyDescent="0.2">
      <c r="U60" s="20"/>
    </row>
    <row r="61" spans="1:21" ht="15.75" x14ac:dyDescent="0.25">
      <c r="A61" s="15"/>
      <c r="L61" s="50"/>
      <c r="M61" s="26"/>
    </row>
    <row r="62" spans="1:21" ht="15.75" x14ac:dyDescent="0.25">
      <c r="A62" s="11"/>
      <c r="M62" s="26"/>
      <c r="S62" s="19"/>
    </row>
    <row r="64" spans="1:21" x14ac:dyDescent="0.2">
      <c r="A64" s="11"/>
    </row>
  </sheetData>
  <mergeCells count="4">
    <mergeCell ref="D3:K3"/>
    <mergeCell ref="L5:Q5"/>
    <mergeCell ref="A5:C5"/>
    <mergeCell ref="F5:H5"/>
  </mergeCells>
  <phoneticPr fontId="9" type="noConversion"/>
  <printOptions horizontalCentered="1" gridLinesSet="0"/>
  <pageMargins left="0.47244094488188981" right="0.47244094488188981" top="0.78740157480314965" bottom="0.62992125984251968" header="0.39370078740157483" footer="0.27559055118110237"/>
  <pageSetup paperSize="9" scale="61" orientation="landscape" horizontalDpi="360" verticalDpi="360" r:id="rId1"/>
  <headerFooter alignWithMargins="0">
    <oddHeader xml:space="preserve">&amp;C&amp;"Arial,Fet"&amp;12Långestrands samfällighetsförening
</oddHeader>
    <oddFooter>&amp;CSida &amp;P av &amp;N</oddFooter>
  </headerFooter>
  <ignoredErrors>
    <ignoredError sqref="N56:N57 N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Budget </vt:lpstr>
      <vt:lpstr>Debiteringslängd neste år</vt:lpstr>
      <vt:lpstr>'Budget '!Utskriftsområde</vt:lpstr>
      <vt:lpstr>'Debiteringslängd neste år'!Utskriftsområde</vt:lpstr>
      <vt:lpstr>'Debiteringslängd neste år'!Utskriftsrubriker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Debiteringslängd</dc:title>
  <dc:subject>ASL och LV</dc:subject>
  <dc:creator>Johan Hjerkinn</dc:creator>
  <cp:lastModifiedBy>Sven Lekander</cp:lastModifiedBy>
  <cp:lastPrinted>2023-07-02T08:31:44Z</cp:lastPrinted>
  <dcterms:created xsi:type="dcterms:W3CDTF">2007-06-10T21:34:54Z</dcterms:created>
  <dcterms:modified xsi:type="dcterms:W3CDTF">2023-07-11T09:33:28Z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89102-b36d-4001-a0c1-da111617c5e0_Enabled">
    <vt:lpwstr>true</vt:lpwstr>
  </property>
  <property fmtid="{D5CDD505-2E9C-101B-9397-08002B2CF9AE}" pid="3" name="MSIP_Label_8b789102-b36d-4001-a0c1-da111617c5e0_SetDate">
    <vt:lpwstr>2022-06-29T20:57:39Z</vt:lpwstr>
  </property>
  <property fmtid="{D5CDD505-2E9C-101B-9397-08002B2CF9AE}" pid="4" name="MSIP_Label_8b789102-b36d-4001-a0c1-da111617c5e0_Method">
    <vt:lpwstr>Privileged</vt:lpwstr>
  </property>
  <property fmtid="{D5CDD505-2E9C-101B-9397-08002B2CF9AE}" pid="5" name="MSIP_Label_8b789102-b36d-4001-a0c1-da111617c5e0_Name">
    <vt:lpwstr>Åpen-Ny</vt:lpwstr>
  </property>
  <property fmtid="{D5CDD505-2E9C-101B-9397-08002B2CF9AE}" pid="6" name="MSIP_Label_8b789102-b36d-4001-a0c1-da111617c5e0_SiteId">
    <vt:lpwstr>029d3bb5-f178-4934-a00b-89d080c06d20</vt:lpwstr>
  </property>
  <property fmtid="{D5CDD505-2E9C-101B-9397-08002B2CF9AE}" pid="7" name="MSIP_Label_8b789102-b36d-4001-a0c1-da111617c5e0_ActionId">
    <vt:lpwstr>99108373-ffec-4f47-8c40-7769a5e59fd3</vt:lpwstr>
  </property>
  <property fmtid="{D5CDD505-2E9C-101B-9397-08002B2CF9AE}" pid="8" name="MSIP_Label_8b789102-b36d-4001-a0c1-da111617c5e0_ContentBits">
    <vt:lpwstr>0</vt:lpwstr>
  </property>
</Properties>
</file>